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defaultThemeVersion="124226"/>
  <xr:revisionPtr revIDLastSave="0" documentId="8_{077D1721-F560-420C-9058-3C3A436FC204}" xr6:coauthVersionLast="45" xr6:coauthVersionMax="45"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Share'!$B$4:$G$49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F'!$A$2:$P$294</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DISB'!$A$3:$D$70</definedName>
    <definedName name="_xlnm.Print_Area" localSheetId="39">'Medicaid Disp Share'!$B$2:$G$52</definedName>
    <definedName name="_xlnm.Print_Area" localSheetId="38">'Public Goods '!$A$3:$F$54</definedName>
    <definedName name="_xlnm.Print_Area" localSheetId="29">'Sch 1 '!$A$3:$L$156</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7" i="42" l="1"/>
  <c r="J25" i="32"/>
  <c r="AL43" i="21"/>
  <c r="AJ70" i="19"/>
  <c r="AH93" i="17"/>
  <c r="B24" i="43" l="1"/>
  <c r="A43" i="14" l="1"/>
  <c r="A43" i="13"/>
  <c r="A42" i="12"/>
  <c r="A45" i="11"/>
  <c r="A45" i="10"/>
  <c r="A53" i="9"/>
  <c r="A52" i="8"/>
  <c r="Z33" i="43" l="1"/>
  <c r="C65" i="34" l="1"/>
  <c r="M61" i="42" l="1"/>
  <c r="M56" i="42"/>
  <c r="M27" i="42"/>
  <c r="M24" i="42"/>
  <c r="M145" i="42"/>
  <c r="M45" i="42"/>
  <c r="M92" i="42"/>
  <c r="M26" i="42"/>
  <c r="M20" i="42"/>
  <c r="M65" i="42"/>
  <c r="M128" i="42"/>
  <c r="M16" i="42"/>
  <c r="M18" i="42"/>
  <c r="M55" i="42"/>
  <c r="M47" i="42"/>
  <c r="M44" i="42"/>
  <c r="M54" i="42"/>
  <c r="M229" i="42"/>
  <c r="M46" i="42"/>
  <c r="M57" i="42"/>
  <c r="M63" i="42"/>
  <c r="M88" i="42"/>
  <c r="M42" i="42"/>
  <c r="M37" i="42"/>
  <c r="M228" i="42"/>
  <c r="M59" i="42"/>
  <c r="M52" i="42"/>
  <c r="M230" i="42"/>
  <c r="M36" i="42"/>
  <c r="M38" i="42"/>
  <c r="M66" i="42"/>
  <c r="M106" i="42"/>
  <c r="M30" i="42"/>
  <c r="M90" i="42"/>
  <c r="M21" i="42"/>
  <c r="M60" i="42"/>
  <c r="M64" i="42"/>
  <c r="M39" i="42"/>
  <c r="M22" i="42"/>
  <c r="M32" i="42"/>
  <c r="M53" i="42"/>
  <c r="M112" i="42"/>
  <c r="M33" i="42"/>
  <c r="M81" i="42"/>
  <c r="M87" i="42"/>
  <c r="M69" i="42"/>
  <c r="M17" i="42"/>
  <c r="M28" i="42"/>
  <c r="M19" i="42"/>
  <c r="M29" i="42"/>
  <c r="M234" i="42"/>
  <c r="M176" i="42"/>
  <c r="M100" i="42"/>
  <c r="M224" i="42"/>
  <c r="M40" i="42"/>
  <c r="M48" i="42"/>
  <c r="M71" i="42"/>
  <c r="M25" i="42"/>
  <c r="M72" i="42"/>
  <c r="M73" i="42"/>
  <c r="M74" i="42"/>
  <c r="M67" i="42"/>
  <c r="M98" i="42"/>
  <c r="M51" i="42"/>
  <c r="M34" i="42"/>
  <c r="M233" i="42"/>
  <c r="M217" i="42"/>
  <c r="M50" i="42"/>
  <c r="M31" i="42"/>
  <c r="M41" i="42"/>
  <c r="M127" i="42"/>
  <c r="M23" i="42"/>
  <c r="M35" i="42"/>
  <c r="M58" i="42"/>
  <c r="M68" i="42"/>
  <c r="M43" i="42"/>
  <c r="M49" i="42"/>
  <c r="M184" i="42"/>
  <c r="M220" i="42"/>
  <c r="K31" i="9"/>
  <c r="V42" i="11" l="1"/>
  <c r="V35" i="11"/>
  <c r="V26" i="11"/>
  <c r="Z36" i="43" l="1"/>
  <c r="Z34" i="43"/>
  <c r="Z29" i="43"/>
  <c r="Z26" i="43"/>
  <c r="Z24" i="43"/>
  <c r="Z23" i="43"/>
  <c r="Z22" i="43"/>
  <c r="M240" i="42" l="1"/>
  <c r="G26" i="34"/>
  <c r="G48" i="34"/>
  <c r="G53" i="34"/>
  <c r="G61" i="34"/>
  <c r="G16" i="34"/>
  <c r="B19" i="37" l="1"/>
  <c r="H25" i="45"/>
  <c r="G25" i="45"/>
  <c r="H24" i="45"/>
  <c r="H23" i="45"/>
  <c r="H22" i="45"/>
  <c r="H21" i="45"/>
  <c r="H20" i="45"/>
  <c r="H19" i="45"/>
  <c r="H18" i="45"/>
  <c r="H17" i="45"/>
  <c r="H16" i="45"/>
  <c r="H15" i="45"/>
  <c r="H14" i="45"/>
  <c r="H13" i="45"/>
  <c r="G13" i="45"/>
  <c r="H12" i="45"/>
  <c r="H11" i="45"/>
  <c r="G19" i="45"/>
  <c r="G23" i="45"/>
  <c r="G22" i="45"/>
  <c r="G21" i="45"/>
  <c r="G20" i="45"/>
  <c r="G18" i="45"/>
  <c r="G17" i="45"/>
  <c r="G16" i="45"/>
  <c r="G15" i="45"/>
  <c r="G14" i="45"/>
  <c r="G24" i="45"/>
  <c r="G12" i="45"/>
  <c r="G11" i="45"/>
  <c r="H56" i="44"/>
  <c r="H55" i="44"/>
  <c r="H54" i="44"/>
  <c r="H53" i="44"/>
  <c r="H52" i="44"/>
  <c r="H51" i="44"/>
  <c r="H50" i="44"/>
  <c r="H49" i="44"/>
  <c r="G49" i="44"/>
  <c r="H48" i="44"/>
  <c r="G48" i="44"/>
  <c r="H47" i="44"/>
  <c r="H45" i="44"/>
  <c r="H44" i="44"/>
  <c r="H43" i="44"/>
  <c r="H42" i="44"/>
  <c r="H41" i="44"/>
  <c r="H40" i="44"/>
  <c r="H39" i="44"/>
  <c r="H38" i="44"/>
  <c r="H37" i="44"/>
  <c r="G37" i="44"/>
  <c r="H36" i="44"/>
  <c r="H35" i="44"/>
  <c r="G35" i="44"/>
  <c r="H34" i="44"/>
  <c r="G34" i="44"/>
  <c r="H32" i="44"/>
  <c r="H31" i="44"/>
  <c r="G31" i="44"/>
  <c r="H30" i="44"/>
  <c r="H29" i="44"/>
  <c r="G29" i="44"/>
  <c r="H28" i="44"/>
  <c r="G28" i="44"/>
  <c r="H27" i="44"/>
  <c r="G27" i="44"/>
  <c r="H26" i="44"/>
  <c r="G26" i="44"/>
  <c r="H25" i="44"/>
  <c r="G25" i="44"/>
  <c r="H24" i="44"/>
  <c r="G24" i="44"/>
  <c r="H23" i="44"/>
  <c r="G23" i="44"/>
  <c r="H22" i="44"/>
  <c r="G22" i="44"/>
  <c r="H21" i="44"/>
  <c r="G21" i="44"/>
  <c r="H20" i="44"/>
  <c r="G20" i="44"/>
  <c r="G19" i="44"/>
  <c r="H18" i="44"/>
  <c r="G18" i="44"/>
  <c r="H17" i="44"/>
  <c r="G17" i="44"/>
  <c r="H16" i="44"/>
  <c r="H15" i="44"/>
  <c r="G15" i="44"/>
  <c r="H14" i="44"/>
  <c r="G13" i="44"/>
  <c r="G12" i="44"/>
  <c r="G42" i="44"/>
  <c r="G47" i="44"/>
  <c r="G52" i="44"/>
  <c r="G50" i="44"/>
  <c r="G51" i="44"/>
  <c r="H46" i="44"/>
  <c r="G46" i="44"/>
  <c r="G45" i="44"/>
  <c r="G44" i="44"/>
  <c r="G43" i="44"/>
  <c r="G41" i="44"/>
  <c r="G40" i="44"/>
  <c r="G39" i="44"/>
  <c r="G38" i="44"/>
  <c r="G36" i="44"/>
  <c r="H33" i="44"/>
  <c r="G33" i="44"/>
  <c r="G32" i="44"/>
  <c r="G30" i="44"/>
  <c r="H19" i="44"/>
  <c r="G16" i="44"/>
  <c r="G14" i="44"/>
  <c r="H13" i="44"/>
  <c r="H12" i="44"/>
  <c r="M42" i="25" l="1"/>
  <c r="M46" i="25" s="1"/>
  <c r="D91" i="20"/>
  <c r="W10" i="41" l="1"/>
  <c r="Y10" i="41" s="1"/>
  <c r="I10" i="41"/>
  <c r="O10" i="41" s="1"/>
  <c r="G10" i="41"/>
  <c r="M10" i="41" s="1"/>
  <c r="S10" i="41" s="1"/>
  <c r="E10" i="41"/>
  <c r="K10" i="41" s="1"/>
  <c r="Q10" i="41" s="1"/>
  <c r="A6" i="41"/>
  <c r="G10" i="40"/>
  <c r="AA10" i="41" s="1"/>
  <c r="C22" i="39"/>
  <c r="C28" i="39"/>
  <c r="C38" i="39"/>
  <c r="C47" i="39"/>
  <c r="B5" i="36"/>
  <c r="C30" i="39" l="1"/>
  <c r="C50" i="39" s="1"/>
  <c r="C52" i="39" s="1"/>
  <c r="A7" i="31"/>
  <c r="A6" i="32" s="1"/>
  <c r="A6" i="33" s="1"/>
  <c r="G56" i="44" l="1"/>
  <c r="G55" i="44" l="1"/>
  <c r="G54" i="44"/>
  <c r="G53" i="44"/>
  <c r="Z31" i="43" l="1"/>
  <c r="E9" i="45" l="1"/>
  <c r="X95" i="18" l="1"/>
  <c r="E57" i="24" l="1"/>
  <c r="E44" i="24"/>
  <c r="E26" i="24" l="1"/>
  <c r="E76" i="24"/>
  <c r="E92" i="24"/>
  <c r="E70" i="24"/>
  <c r="E83" i="24"/>
  <c r="E62" i="24"/>
  <c r="E77" i="24"/>
  <c r="F15" i="39"/>
  <c r="B16" i="29" l="1"/>
  <c r="F18" i="6" s="1"/>
  <c r="B23" i="28"/>
  <c r="B24" i="6" s="1"/>
  <c r="B22" i="29"/>
  <c r="F23" i="6" s="1"/>
  <c r="B32" i="37" l="1"/>
  <c r="B17" i="37"/>
  <c r="D43" i="40"/>
  <c r="G42" i="40"/>
  <c r="G39" i="40"/>
  <c r="G38" i="40"/>
  <c r="G34" i="40"/>
  <c r="G33" i="40"/>
  <c r="G32" i="40"/>
  <c r="G31" i="40"/>
  <c r="G29" i="40"/>
  <c r="G28" i="40"/>
  <c r="G21" i="40"/>
  <c r="G20" i="40"/>
  <c r="G19" i="40"/>
  <c r="G15" i="40"/>
  <c r="F46" i="39"/>
  <c r="F45" i="39"/>
  <c r="F44" i="39"/>
  <c r="F42" i="39"/>
  <c r="F41" i="39"/>
  <c r="F37" i="39"/>
  <c r="F35" i="39"/>
  <c r="F34" i="39"/>
  <c r="F27" i="39"/>
  <c r="F26" i="39"/>
  <c r="F25" i="39"/>
  <c r="F16" i="39"/>
  <c r="F17" i="39"/>
  <c r="F18" i="39"/>
  <c r="F19" i="39"/>
  <c r="F20" i="39"/>
  <c r="F21" i="39"/>
  <c r="F12" i="39"/>
  <c r="B26" i="27" l="1"/>
  <c r="F27" i="5" s="1"/>
  <c r="E65" i="25"/>
  <c r="B24" i="27"/>
  <c r="F25" i="5" s="1"/>
  <c r="M192" i="42"/>
  <c r="Q60" i="25" l="1"/>
  <c r="G41" i="40" l="1"/>
  <c r="D100" i="18" l="1"/>
  <c r="D24" i="2" s="1"/>
  <c r="D107" i="18"/>
  <c r="D31" i="2" s="1"/>
  <c r="D105" i="18"/>
  <c r="D29" i="2" s="1"/>
  <c r="D129" i="18"/>
  <c r="D30" i="18"/>
  <c r="D30" i="15" s="1"/>
  <c r="D46" i="18"/>
  <c r="D49" i="15" s="1"/>
  <c r="D112" i="18"/>
  <c r="D36" i="2" s="1"/>
  <c r="D70" i="18"/>
  <c r="D123" i="18"/>
  <c r="D17" i="18"/>
  <c r="D16" i="15" s="1"/>
  <c r="D90" i="18"/>
  <c r="D128" i="18"/>
  <c r="G7" i="45"/>
  <c r="C7" i="45"/>
  <c r="C28" i="31" l="1"/>
  <c r="D25" i="32"/>
  <c r="AL77" i="21"/>
  <c r="B21" i="37"/>
  <c r="B31" i="37"/>
  <c r="AL96" i="20"/>
  <c r="AL26" i="20"/>
  <c r="AL70" i="20"/>
  <c r="AG113" i="19"/>
  <c r="G203" i="42"/>
  <c r="B41" i="37"/>
  <c r="B29" i="37"/>
  <c r="B38" i="37"/>
  <c r="AK128" i="18"/>
  <c r="AL58" i="20"/>
  <c r="AI55" i="22"/>
  <c r="AL56" i="20"/>
  <c r="AL76" i="21"/>
  <c r="B37" i="37"/>
  <c r="B20" i="37"/>
  <c r="B36" i="37"/>
  <c r="AL17" i="20"/>
  <c r="B15" i="37"/>
  <c r="B42" i="37"/>
  <c r="H57" i="3"/>
  <c r="B40" i="37"/>
  <c r="AG114" i="19"/>
  <c r="B30" i="37"/>
  <c r="B22" i="37"/>
  <c r="B23" i="37"/>
  <c r="AK79" i="18"/>
  <c r="B18" i="37"/>
  <c r="B16" i="37"/>
  <c r="B28" i="37"/>
  <c r="B24" i="37"/>
  <c r="D31" i="20"/>
  <c r="D31" i="21"/>
  <c r="D45" i="20"/>
  <c r="C29" i="26"/>
  <c r="B26" i="5" s="1"/>
  <c r="C30" i="26"/>
  <c r="B27" i="5" s="1"/>
  <c r="D43" i="21"/>
  <c r="D73" i="20"/>
  <c r="B19" i="22"/>
  <c r="L28" i="15" s="1"/>
  <c r="AA20" i="22"/>
  <c r="D67" i="21"/>
  <c r="D69" i="21"/>
  <c r="G59" i="34"/>
  <c r="Z21" i="43"/>
  <c r="L37" i="43" l="1"/>
  <c r="Z20" i="43" l="1"/>
  <c r="AG104" i="19" l="1"/>
  <c r="AL104" i="19" s="1"/>
  <c r="I25" i="45"/>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G26" i="45"/>
  <c r="I12" i="45"/>
  <c r="I26" i="45" l="1"/>
  <c r="E12" i="45"/>
  <c r="E11" i="45"/>
  <c r="E28" i="45"/>
  <c r="G28" i="45" s="1"/>
  <c r="I28" i="45" s="1"/>
  <c r="I41" i="44" l="1"/>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G59" i="44" s="1"/>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G43" i="40" l="1"/>
  <c r="L92" i="18" l="1"/>
  <c r="B16" i="22" l="1"/>
  <c r="L23" i="15" s="1"/>
  <c r="C21" i="26"/>
  <c r="B20" i="5" s="1"/>
  <c r="B23" i="22"/>
  <c r="L53" i="15" s="1"/>
  <c r="B57" i="22"/>
  <c r="L40" i="2" s="1"/>
  <c r="B44" i="22"/>
  <c r="B22" i="22"/>
  <c r="L51" i="15" s="1"/>
  <c r="AA24" i="22"/>
  <c r="AA26" i="22" s="1"/>
  <c r="B67" i="22"/>
  <c r="L50" i="2" s="1"/>
  <c r="B55" i="22"/>
  <c r="L37" i="2" s="1"/>
  <c r="AA59" i="22"/>
  <c r="B66" i="22"/>
  <c r="L49" i="2" s="1"/>
  <c r="AA69" i="22"/>
  <c r="E41" i="10"/>
  <c r="L14" i="2" l="1"/>
  <c r="D33" i="20" l="1"/>
  <c r="D23" i="20"/>
  <c r="D100" i="20"/>
  <c r="H37" i="3" s="1"/>
  <c r="C41" i="10"/>
  <c r="D39" i="18" l="1"/>
  <c r="D41" i="15" s="1"/>
  <c r="D58" i="18"/>
  <c r="D18" i="18"/>
  <c r="D17" i="15" s="1"/>
  <c r="E25" i="41"/>
  <c r="E21" i="24" l="1"/>
  <c r="Z16" i="43"/>
  <c r="X17" i="43"/>
  <c r="V17" i="43"/>
  <c r="T17" i="43"/>
  <c r="R17" i="43"/>
  <c r="P17" i="43"/>
  <c r="N17" i="43"/>
  <c r="L17" i="43"/>
  <c r="J17" i="43"/>
  <c r="H17" i="43"/>
  <c r="F17" i="43"/>
  <c r="D17" i="43"/>
  <c r="B17" i="43"/>
  <c r="P22" i="18" l="1"/>
  <c r="P26" i="18" l="1"/>
  <c r="P92" i="18"/>
  <c r="P36" i="18"/>
  <c r="P43" i="18"/>
  <c r="P51" i="18"/>
  <c r="P110" i="18"/>
  <c r="P116" i="18" s="1"/>
  <c r="E59" i="24" l="1"/>
  <c r="E48" i="24"/>
  <c r="D65" i="18"/>
  <c r="D67" i="18"/>
  <c r="D73" i="18"/>
  <c r="D82" i="18"/>
  <c r="P53" i="18"/>
  <c r="D127" i="18" l="1"/>
  <c r="W35" i="41"/>
  <c r="AC9" i="21" l="1"/>
  <c r="H30" i="45" l="1"/>
  <c r="B24" i="28" l="1"/>
  <c r="B25" i="6" s="1"/>
  <c r="AL59" i="24"/>
  <c r="D42" i="18"/>
  <c r="D44" i="15" s="1"/>
  <c r="D108" i="18"/>
  <c r="D32" i="2" s="1"/>
  <c r="B23" i="29"/>
  <c r="F24" i="6" s="1"/>
  <c r="D34" i="20"/>
  <c r="E75" i="24"/>
  <c r="D72" i="20"/>
  <c r="D28" i="18"/>
  <c r="D28" i="15" s="1"/>
  <c r="C28" i="26"/>
  <c r="B25" i="5" s="1"/>
  <c r="AE55" i="16"/>
  <c r="AD53" i="15" s="1"/>
  <c r="E34" i="25"/>
  <c r="D76" i="18"/>
  <c r="D60" i="21"/>
  <c r="D56" i="20"/>
  <c r="E19" i="25"/>
  <c r="D27" i="20"/>
  <c r="D63" i="20"/>
  <c r="AK87" i="18"/>
  <c r="G52" i="34"/>
  <c r="M52" i="34" s="1"/>
  <c r="D101" i="20"/>
  <c r="H38" i="3" s="1"/>
  <c r="D83" i="18"/>
  <c r="B36" i="27"/>
  <c r="F35" i="5" s="1"/>
  <c r="G62" i="34"/>
  <c r="M62" i="34" s="1"/>
  <c r="D125" i="18"/>
  <c r="E93" i="24"/>
  <c r="D24" i="20"/>
  <c r="D36" i="21"/>
  <c r="D57" i="20"/>
  <c r="E26" i="25"/>
  <c r="E41" i="24"/>
  <c r="E56" i="24"/>
  <c r="G57" i="34"/>
  <c r="M57" i="34" s="1"/>
  <c r="E54" i="24"/>
  <c r="D75" i="20"/>
  <c r="D17" i="20"/>
  <c r="H15" i="3" s="1"/>
  <c r="R32" i="11"/>
  <c r="G32" i="10" s="1"/>
  <c r="K32" i="10" s="1"/>
  <c r="AJ76" i="21"/>
  <c r="D76" i="21"/>
  <c r="D104" i="19" s="1"/>
  <c r="H40" i="2" s="1"/>
  <c r="D46" i="20"/>
  <c r="B38" i="22"/>
  <c r="G56" i="34"/>
  <c r="M56" i="34" s="1"/>
  <c r="M16" i="34"/>
  <c r="E19" i="24"/>
  <c r="D24" i="18"/>
  <c r="D23" i="15" s="1"/>
  <c r="B32" i="28"/>
  <c r="B33" i="6" s="1"/>
  <c r="G35" i="34"/>
  <c r="M35" i="34" s="1"/>
  <c r="G45" i="34"/>
  <c r="E44" i="25"/>
  <c r="D23" i="18"/>
  <c r="D22" i="15" s="1"/>
  <c r="D27" i="21"/>
  <c r="E58" i="24"/>
  <c r="D95" i="20"/>
  <c r="H32" i="3" s="1"/>
  <c r="D37" i="21"/>
  <c r="E74" i="24"/>
  <c r="D20" i="20"/>
  <c r="D30" i="21"/>
  <c r="D68" i="20"/>
  <c r="AK31" i="18"/>
  <c r="E51" i="24"/>
  <c r="D47" i="18"/>
  <c r="D50" i="15" s="1"/>
  <c r="D66" i="21"/>
  <c r="AK76" i="18"/>
  <c r="D28" i="21"/>
  <c r="D59" i="20"/>
  <c r="B31" i="29"/>
  <c r="F32" i="6" s="1"/>
  <c r="D44" i="21"/>
  <c r="D80" i="18"/>
  <c r="E52" i="25"/>
  <c r="E33" i="25"/>
  <c r="D104" i="18"/>
  <c r="D28" i="2" s="1"/>
  <c r="M59" i="34"/>
  <c r="E28" i="25"/>
  <c r="E27" i="25"/>
  <c r="AE39" i="17"/>
  <c r="D32" i="21"/>
  <c r="D45" i="21"/>
  <c r="D33" i="18"/>
  <c r="D34" i="15" s="1"/>
  <c r="AK42" i="18"/>
  <c r="D22" i="21"/>
  <c r="E21" i="25"/>
  <c r="B45" i="22"/>
  <c r="D52" i="20"/>
  <c r="D50" i="20"/>
  <c r="E55" i="24"/>
  <c r="D89" i="18"/>
  <c r="E43" i="24"/>
  <c r="D79" i="18"/>
  <c r="B36" i="22"/>
  <c r="AK94" i="18"/>
  <c r="G31" i="34"/>
  <c r="M31" i="34" s="1"/>
  <c r="D66" i="18"/>
  <c r="E24" i="25"/>
  <c r="D79" i="20"/>
  <c r="E45" i="24"/>
  <c r="D25" i="18"/>
  <c r="D24" i="15" s="1"/>
  <c r="D48" i="20"/>
  <c r="E80" i="24"/>
  <c r="B41" i="22"/>
  <c r="AG41" i="22"/>
  <c r="D64" i="20"/>
  <c r="E82" i="24"/>
  <c r="D47" i="21"/>
  <c r="E63" i="25"/>
  <c r="B32" i="22"/>
  <c r="B24" i="29"/>
  <c r="F25" i="6" s="1"/>
  <c r="D77" i="18"/>
  <c r="E81" i="24"/>
  <c r="D24" i="21"/>
  <c r="D64" i="21"/>
  <c r="G22" i="34"/>
  <c r="M22" i="34" s="1"/>
  <c r="D41" i="20"/>
  <c r="B42" i="22"/>
  <c r="E40" i="24"/>
  <c r="D76" i="20"/>
  <c r="D109" i="18"/>
  <c r="D33" i="2" s="1"/>
  <c r="G49" i="34"/>
  <c r="M49" i="34" s="1"/>
  <c r="D74" i="18"/>
  <c r="E72" i="24"/>
  <c r="E36" i="25"/>
  <c r="B22" i="28"/>
  <c r="B23" i="6" s="1"/>
  <c r="D26" i="20"/>
  <c r="D21" i="21"/>
  <c r="B37" i="27"/>
  <c r="F36" i="5" s="1"/>
  <c r="G51" i="34"/>
  <c r="M51" i="34" s="1"/>
  <c r="AL46" i="24"/>
  <c r="E46" i="24"/>
  <c r="D106" i="18"/>
  <c r="D30" i="2" s="1"/>
  <c r="D86" i="21"/>
  <c r="E53" i="24"/>
  <c r="AL75" i="24"/>
  <c r="E74" i="25"/>
  <c r="D63" i="18"/>
  <c r="G39" i="34"/>
  <c r="M39" i="34" s="1"/>
  <c r="B34" i="22"/>
  <c r="B25" i="27"/>
  <c r="F26" i="5" s="1"/>
  <c r="D49" i="18"/>
  <c r="D52" i="15" s="1"/>
  <c r="D33" i="21"/>
  <c r="D54" i="21"/>
  <c r="E50" i="24"/>
  <c r="E73" i="24"/>
  <c r="M201" i="42"/>
  <c r="E69" i="24"/>
  <c r="D38" i="21"/>
  <c r="M198" i="42"/>
  <c r="D74" i="21"/>
  <c r="C19" i="26"/>
  <c r="B18" i="5" s="1"/>
  <c r="D22" i="20"/>
  <c r="D42" i="21"/>
  <c r="E68" i="24"/>
  <c r="D62" i="20"/>
  <c r="E49" i="24"/>
  <c r="AK74" i="18"/>
  <c r="E25" i="25"/>
  <c r="D39" i="21"/>
  <c r="D31" i="18"/>
  <c r="D32" i="15" s="1"/>
  <c r="D34" i="18"/>
  <c r="D35" i="15" s="1"/>
  <c r="AF92" i="18"/>
  <c r="D89" i="20"/>
  <c r="H26" i="3" s="1"/>
  <c r="E42" i="24"/>
  <c r="D71" i="20"/>
  <c r="G29" i="34"/>
  <c r="M29" i="34" s="1"/>
  <c r="D53" i="20"/>
  <c r="D57" i="2"/>
  <c r="D60" i="20"/>
  <c r="M26" i="34"/>
  <c r="D69" i="18"/>
  <c r="C41" i="26"/>
  <c r="B35" i="5" s="1"/>
  <c r="D62" i="21"/>
  <c r="D85" i="21"/>
  <c r="E39" i="25"/>
  <c r="E59" i="25"/>
  <c r="D102" i="18"/>
  <c r="D26" i="2" s="1"/>
  <c r="AA47" i="22"/>
  <c r="AA51" i="22" s="1"/>
  <c r="AA62" i="22" s="1"/>
  <c r="AA74" i="22" s="1"/>
  <c r="B30" i="22"/>
  <c r="D77" i="20"/>
  <c r="G38" i="34"/>
  <c r="M38" i="34" s="1"/>
  <c r="D32" i="18"/>
  <c r="D33" i="15" s="1"/>
  <c r="D61" i="18"/>
  <c r="D32" i="20"/>
  <c r="D46" i="21"/>
  <c r="D114" i="18"/>
  <c r="D38" i="2" s="1"/>
  <c r="B44" i="5"/>
  <c r="D74" i="20"/>
  <c r="D93" i="20"/>
  <c r="H30" i="3" s="1"/>
  <c r="G23" i="34"/>
  <c r="M23" i="34" s="1"/>
  <c r="C31" i="26"/>
  <c r="B28" i="5" s="1"/>
  <c r="D60" i="18"/>
  <c r="D35" i="18"/>
  <c r="D36" i="15" s="1"/>
  <c r="D29" i="18"/>
  <c r="D29" i="15" s="1"/>
  <c r="B31" i="28"/>
  <c r="B32" i="6" s="1"/>
  <c r="D84" i="18"/>
  <c r="D57" i="18"/>
  <c r="D70" i="20"/>
  <c r="E58" i="25"/>
  <c r="E62" i="25"/>
  <c r="D20" i="18"/>
  <c r="D19" i="15" s="1"/>
  <c r="B41" i="6"/>
  <c r="AI41" i="22"/>
  <c r="AE85" i="17"/>
  <c r="AJ85" i="17" s="1"/>
  <c r="E54" i="25"/>
  <c r="D72" i="18"/>
  <c r="D68" i="18"/>
  <c r="D23" i="21"/>
  <c r="D51" i="20"/>
  <c r="D82" i="20"/>
  <c r="H20" i="3" s="1"/>
  <c r="E57" i="25"/>
  <c r="E38" i="24"/>
  <c r="E32" i="25"/>
  <c r="D94" i="20"/>
  <c r="H31" i="3" s="1"/>
  <c r="D48" i="21"/>
  <c r="D21" i="20"/>
  <c r="G20" i="34"/>
  <c r="E51" i="25"/>
  <c r="D103" i="20"/>
  <c r="D25" i="20"/>
  <c r="D41" i="21"/>
  <c r="G21" i="34"/>
  <c r="M21" i="34" s="1"/>
  <c r="D111" i="20"/>
  <c r="H49" i="3" s="1"/>
  <c r="D41" i="18"/>
  <c r="D43" i="15" s="1"/>
  <c r="E40" i="25"/>
  <c r="D19" i="21"/>
  <c r="D29" i="21"/>
  <c r="D65" i="20"/>
  <c r="C42" i="26"/>
  <c r="B36" i="5" s="1"/>
  <c r="AL55" i="24"/>
  <c r="D45" i="18"/>
  <c r="D48" i="15" s="1"/>
  <c r="D49" i="21"/>
  <c r="E64" i="25"/>
  <c r="D51" i="21"/>
  <c r="M53" i="34"/>
  <c r="E73" i="25"/>
  <c r="M48" i="34"/>
  <c r="G34" i="34"/>
  <c r="M34" i="34" s="1"/>
  <c r="E38" i="25"/>
  <c r="D130" i="18"/>
  <c r="D50" i="2" s="1"/>
  <c r="E25" i="24"/>
  <c r="D73" i="21"/>
  <c r="L57" i="2"/>
  <c r="E37" i="25"/>
  <c r="G30" i="34"/>
  <c r="M30" i="34" s="1"/>
  <c r="D113" i="18"/>
  <c r="D37" i="2" s="1"/>
  <c r="AL41" i="25"/>
  <c r="D49" i="20"/>
  <c r="D101" i="18"/>
  <c r="D25" i="2" s="1"/>
  <c r="D21" i="18"/>
  <c r="D20" i="15" s="1"/>
  <c r="E23" i="25"/>
  <c r="B39" i="22"/>
  <c r="E41" i="25"/>
  <c r="D50" i="21"/>
  <c r="AL91" i="24"/>
  <c r="E29" i="25"/>
  <c r="G50" i="34"/>
  <c r="M50" i="34" s="1"/>
  <c r="D30" i="20"/>
  <c r="D112" i="20"/>
  <c r="H50" i="3" s="1"/>
  <c r="D102" i="20"/>
  <c r="H39" i="3" s="1"/>
  <c r="G43" i="34"/>
  <c r="M43" i="34" s="1"/>
  <c r="F41" i="6"/>
  <c r="B49" i="22"/>
  <c r="L19" i="2" s="1"/>
  <c r="B32" i="29"/>
  <c r="F33" i="6" s="1"/>
  <c r="D78" i="20"/>
  <c r="E24" i="24"/>
  <c r="B46" i="22"/>
  <c r="D91" i="18"/>
  <c r="D90" i="20"/>
  <c r="H27" i="3" s="1"/>
  <c r="D58" i="20"/>
  <c r="E55" i="25"/>
  <c r="D87" i="18"/>
  <c r="E29" i="24"/>
  <c r="G19" i="34"/>
  <c r="M19" i="34" s="1"/>
  <c r="D72" i="21"/>
  <c r="D65" i="21"/>
  <c r="D92" i="20"/>
  <c r="H29" i="3" s="1"/>
  <c r="D88" i="18"/>
  <c r="D88" i="20"/>
  <c r="H25" i="3" s="1"/>
  <c r="D54" i="20"/>
  <c r="AI84" i="23"/>
  <c r="D96" i="20"/>
  <c r="H33" i="3" s="1"/>
  <c r="E36" i="24"/>
  <c r="E50" i="25"/>
  <c r="G41" i="34"/>
  <c r="G63" i="34"/>
  <c r="E31" i="25"/>
  <c r="D48" i="18"/>
  <c r="D51" i="15" s="1"/>
  <c r="E91" i="24"/>
  <c r="B17" i="27"/>
  <c r="F18" i="5" s="1"/>
  <c r="D19" i="18"/>
  <c r="D18" i="15" s="1"/>
  <c r="AI46" i="23"/>
  <c r="D124" i="18"/>
  <c r="D44" i="20"/>
  <c r="B33" i="22"/>
  <c r="D40" i="18"/>
  <c r="D42" i="15" s="1"/>
  <c r="D43" i="20"/>
  <c r="D35" i="21"/>
  <c r="F44" i="5"/>
  <c r="D85" i="18"/>
  <c r="D94" i="18"/>
  <c r="D19" i="2" s="1"/>
  <c r="D61" i="21"/>
  <c r="D66" i="20"/>
  <c r="D77" i="21"/>
  <c r="B16" i="28"/>
  <c r="B18" i="6" s="1"/>
  <c r="D86" i="18"/>
  <c r="E20" i="24"/>
  <c r="D38" i="18"/>
  <c r="D40" i="15" s="1"/>
  <c r="E56" i="25"/>
  <c r="D97" i="20"/>
  <c r="H34" i="3" s="1"/>
  <c r="D78" i="18"/>
  <c r="C20" i="26"/>
  <c r="B19" i="5" s="1"/>
  <c r="B35" i="22"/>
  <c r="D26" i="21"/>
  <c r="D68" i="21"/>
  <c r="B37" i="22"/>
  <c r="D71" i="18"/>
  <c r="D50" i="18"/>
  <c r="D53" i="15" s="1"/>
  <c r="D62" i="18"/>
  <c r="D126" i="18"/>
  <c r="D69" i="20"/>
  <c r="AD104" i="19"/>
  <c r="H42" i="3"/>
  <c r="H61" i="44"/>
  <c r="D61" i="44"/>
  <c r="D49" i="2" l="1"/>
  <c r="J40" i="2"/>
  <c r="AJ104" i="19"/>
  <c r="P96" i="18"/>
  <c r="P119" i="18" s="1"/>
  <c r="P133" i="18" l="1"/>
  <c r="P137" i="18" s="1"/>
  <c r="Z15" i="43"/>
  <c r="Z17" i="43" s="1"/>
  <c r="Z27" i="43"/>
  <c r="Q12" i="34" l="1"/>
  <c r="E65" i="34" l="1"/>
  <c r="B6" i="24" l="1"/>
  <c r="R33" i="11" l="1"/>
  <c r="N50" i="2"/>
  <c r="J33" i="37" l="1"/>
  <c r="M25" i="41"/>
  <c r="P35" i="19" l="1"/>
  <c r="P98" i="20"/>
  <c r="P105" i="20" s="1"/>
  <c r="P114" i="20"/>
  <c r="K25" i="41"/>
  <c r="I121" i="17" l="1"/>
  <c r="I130" i="17" s="1"/>
  <c r="Y23" i="26" l="1"/>
  <c r="J54" i="15" l="1"/>
  <c r="H54" i="15"/>
  <c r="X24" i="22" l="1"/>
  <c r="V24" i="22"/>
  <c r="R24" i="22"/>
  <c r="Y56" i="16" l="1"/>
  <c r="Y56" i="17"/>
  <c r="Z51" i="18" l="1"/>
  <c r="G12" i="40" l="1"/>
  <c r="X51" i="18" l="1"/>
  <c r="W33" i="26"/>
  <c r="G22" i="40"/>
  <c r="D37" i="43"/>
  <c r="Z35" i="43"/>
  <c r="AI76" i="18" l="1"/>
  <c r="W56" i="16"/>
  <c r="W56" i="17"/>
  <c r="K114" i="30" l="1"/>
  <c r="D21" i="19"/>
  <c r="H29" i="15" s="1"/>
  <c r="D34" i="19"/>
  <c r="H44" i="15" s="1"/>
  <c r="D58" i="19"/>
  <c r="T51" i="18" l="1"/>
  <c r="C25" i="16"/>
  <c r="I139" i="17" l="1"/>
  <c r="P24" i="22"/>
  <c r="S56" i="17" l="1"/>
  <c r="S56" i="16"/>
  <c r="AC9" i="20"/>
  <c r="AE28" i="16" l="1"/>
  <c r="AE55" i="17"/>
  <c r="D24" i="22"/>
  <c r="R21" i="15"/>
  <c r="P21" i="15"/>
  <c r="N21" i="15"/>
  <c r="L21" i="15"/>
  <c r="J21" i="15"/>
  <c r="H21" i="15"/>
  <c r="X22" i="18"/>
  <c r="T22" i="18"/>
  <c r="AC133" i="18" l="1"/>
  <c r="F51" i="18"/>
  <c r="Y95" i="24"/>
  <c r="M196" i="42" l="1"/>
  <c r="T24" i="22" l="1"/>
  <c r="M193" i="42"/>
  <c r="AC36" i="18" l="1"/>
  <c r="D56" i="19"/>
  <c r="D25" i="19"/>
  <c r="H33" i="15" s="1"/>
  <c r="D59" i="19"/>
  <c r="AG27" i="19"/>
  <c r="AE39" i="16" s="1"/>
  <c r="D79" i="19"/>
  <c r="D72" i="19"/>
  <c r="D77" i="19"/>
  <c r="D113" i="19"/>
  <c r="H49" i="2" s="1"/>
  <c r="D54" i="19"/>
  <c r="D45" i="32"/>
  <c r="D44" i="19"/>
  <c r="D32" i="19"/>
  <c r="H42" i="15" s="1"/>
  <c r="D60" i="19"/>
  <c r="D27" i="19"/>
  <c r="AJ27" i="20"/>
  <c r="AL27" i="20" s="1"/>
  <c r="D68" i="19"/>
  <c r="D22" i="19"/>
  <c r="H30" i="15" s="1"/>
  <c r="AI35" i="18"/>
  <c r="AK35" i="18" s="1"/>
  <c r="F36" i="15"/>
  <c r="X36" i="15" s="1"/>
  <c r="D43" i="19"/>
  <c r="D90" i="19"/>
  <c r="H26" i="2" s="1"/>
  <c r="D31" i="19"/>
  <c r="H41" i="15" s="1"/>
  <c r="D33" i="19"/>
  <c r="H43" i="15" s="1"/>
  <c r="C55" i="16"/>
  <c r="AI34" i="18"/>
  <c r="F35" i="15"/>
  <c r="D17" i="32"/>
  <c r="D48" i="19"/>
  <c r="D78" i="19"/>
  <c r="D52" i="19"/>
  <c r="D23" i="19"/>
  <c r="H31" i="15" s="1"/>
  <c r="D95" i="19"/>
  <c r="H31" i="2" s="1"/>
  <c r="D46" i="19"/>
  <c r="D26" i="19"/>
  <c r="H34" i="15" s="1"/>
  <c r="D76" i="19"/>
  <c r="D88" i="19"/>
  <c r="H24" i="2" s="1"/>
  <c r="AE40" i="17"/>
  <c r="AE40" i="16"/>
  <c r="AD36" i="15" s="1"/>
  <c r="D24" i="19"/>
  <c r="H32" i="15" s="1"/>
  <c r="D53" i="19"/>
  <c r="D74" i="19"/>
  <c r="D62" i="19"/>
  <c r="D30" i="19"/>
  <c r="H40" i="15" s="1"/>
  <c r="D63" i="19"/>
  <c r="D70" i="19"/>
  <c r="AD70" i="19" s="1"/>
  <c r="D41" i="19"/>
  <c r="D20" i="19"/>
  <c r="D105" i="19"/>
  <c r="H41" i="2" s="1"/>
  <c r="D57" i="19"/>
  <c r="D65" i="19"/>
  <c r="AK34" i="18"/>
  <c r="D50" i="19"/>
  <c r="D75" i="19"/>
  <c r="D71" i="19"/>
  <c r="C22" i="17"/>
  <c r="D102" i="19"/>
  <c r="H38" i="2" s="1"/>
  <c r="D101" i="19"/>
  <c r="H37" i="2" s="1"/>
  <c r="D17" i="19"/>
  <c r="H22" i="15" s="1"/>
  <c r="B24" i="22"/>
  <c r="L17" i="2" s="1"/>
  <c r="D82" i="19"/>
  <c r="H19" i="2" s="1"/>
  <c r="V22" i="18"/>
  <c r="V51" i="18"/>
  <c r="H21" i="36"/>
  <c r="AD20" i="19" l="1"/>
  <c r="H28" i="15"/>
  <c r="AD27" i="19"/>
  <c r="J35" i="15" s="1"/>
  <c r="X35" i="15" s="1"/>
  <c r="H35" i="15"/>
  <c r="V35" i="15" s="1"/>
  <c r="AD17" i="19"/>
  <c r="H14" i="2"/>
  <c r="AD113" i="19"/>
  <c r="AH36" i="15"/>
  <c r="AJ36" i="15" s="1"/>
  <c r="AD35" i="15"/>
  <c r="AJ35" i="15" s="1"/>
  <c r="C39" i="17"/>
  <c r="AB39" i="17" s="1"/>
  <c r="AH39" i="17" s="1"/>
  <c r="AJ39" i="17" s="1"/>
  <c r="D48" i="32"/>
  <c r="D73" i="19"/>
  <c r="D93" i="19"/>
  <c r="H29" i="2" s="1"/>
  <c r="D45" i="19"/>
  <c r="D97" i="19"/>
  <c r="H33" i="2" s="1"/>
  <c r="D96" i="19"/>
  <c r="H32" i="2" s="1"/>
  <c r="D92" i="19"/>
  <c r="H28" i="2" s="1"/>
  <c r="C128" i="17"/>
  <c r="D51" i="19"/>
  <c r="Z25" i="37"/>
  <c r="D94" i="19"/>
  <c r="H30" i="2" s="1"/>
  <c r="D64" i="19"/>
  <c r="C55" i="17"/>
  <c r="D51" i="18"/>
  <c r="D17" i="2" s="1"/>
  <c r="D69" i="19"/>
  <c r="D114" i="19"/>
  <c r="H50" i="2" s="1"/>
  <c r="D100" i="19"/>
  <c r="H36" i="2" s="1"/>
  <c r="C44" i="26"/>
  <c r="D66" i="19"/>
  <c r="D89" i="19"/>
  <c r="H25" i="2" s="1"/>
  <c r="D49" i="19"/>
  <c r="C40" i="16"/>
  <c r="AB40" i="16" s="1"/>
  <c r="AH40" i="16" s="1"/>
  <c r="AJ40" i="16" s="1"/>
  <c r="C40" i="17"/>
  <c r="AB40" i="17" s="1"/>
  <c r="AH40" i="17" s="1"/>
  <c r="AJ40" i="17" s="1"/>
  <c r="V36" i="15"/>
  <c r="C39" i="16"/>
  <c r="AB39" i="16" s="1"/>
  <c r="AH39" i="16" s="1"/>
  <c r="AJ39" i="16" s="1"/>
  <c r="U56" i="17"/>
  <c r="U56" i="16"/>
  <c r="K12" i="34"/>
  <c r="M12" i="34" s="1"/>
  <c r="S12" i="34" s="1"/>
  <c r="K11" i="34"/>
  <c r="S11" i="34" s="1"/>
  <c r="L11" i="32"/>
  <c r="J13" i="33" s="1"/>
  <c r="D11" i="32"/>
  <c r="K14" i="31"/>
  <c r="C14" i="31"/>
  <c r="A8" i="31"/>
  <c r="A7" i="32" s="1"/>
  <c r="A7" i="33" s="1"/>
  <c r="I28" i="31" l="1"/>
  <c r="G28" i="31"/>
  <c r="E28" i="31"/>
  <c r="K27" i="31"/>
  <c r="K18" i="31"/>
  <c r="AJ27" i="19"/>
  <c r="AL27" i="19" s="1"/>
  <c r="AH35" i="15"/>
  <c r="D13" i="33"/>
  <c r="F25" i="32" l="1"/>
  <c r="L21" i="32"/>
  <c r="H25" i="32"/>
  <c r="N24" i="22"/>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S26" i="17" l="1"/>
  <c r="AA23" i="41"/>
  <c r="D35" i="40" l="1"/>
  <c r="D22" i="40"/>
  <c r="D16" i="40"/>
  <c r="D24" i="40" l="1"/>
  <c r="D46" i="40"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N17" i="28" l="1"/>
  <c r="C63" i="17"/>
  <c r="AE93" i="17" l="1"/>
  <c r="AJ93" i="17" s="1"/>
  <c r="AJ70" i="20"/>
  <c r="AG70" i="19"/>
  <c r="AE93" i="16" s="1"/>
  <c r="AJ93" i="16" s="1"/>
  <c r="AB93" i="17"/>
  <c r="N23" i="15" l="1"/>
  <c r="F22" i="18"/>
  <c r="E44" i="26"/>
  <c r="U26" i="17"/>
  <c r="U26" i="16"/>
  <c r="W79" i="23"/>
  <c r="E56" i="16" l="1"/>
  <c r="E56" i="17"/>
  <c r="E48" i="16"/>
  <c r="G25" i="41"/>
  <c r="R33" i="37" l="1"/>
  <c r="C124" i="17" l="1"/>
  <c r="G16" i="40"/>
  <c r="G35" i="40" l="1"/>
  <c r="G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O103" i="17"/>
  <c r="O139" i="17"/>
  <c r="Q26" i="17" l="1"/>
  <c r="A52" i="9"/>
  <c r="K87" i="30" l="1"/>
  <c r="O203" i="42"/>
  <c r="K115" i="30"/>
  <c r="N37" i="43"/>
  <c r="V43" i="18" l="1"/>
  <c r="V36" i="18"/>
  <c r="V92" i="18"/>
  <c r="V110" i="18"/>
  <c r="V116" i="18" s="1"/>
  <c r="V133" i="18" l="1"/>
  <c r="Y31" i="23" l="1"/>
  <c r="Y23" i="23" l="1"/>
  <c r="A42" i="14"/>
  <c r="A42" i="13"/>
  <c r="A44" i="11"/>
  <c r="A44"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5"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1" i="30"/>
  <c r="AG42" i="25"/>
  <c r="P18" i="5"/>
  <c r="C23" i="16"/>
  <c r="AA39" i="27"/>
  <c r="G39" i="9"/>
  <c r="AD95" i="24"/>
  <c r="C37" i="17"/>
  <c r="AL85" i="21"/>
  <c r="AG37" i="27"/>
  <c r="AE22" i="17"/>
  <c r="F19" i="6"/>
  <c r="C153"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P50" i="2" s="1"/>
  <c r="AF22" i="18"/>
  <c r="B19" i="6"/>
  <c r="C99" i="17"/>
  <c r="D22" i="18"/>
  <c r="AD69" i="22"/>
  <c r="C81" i="17"/>
  <c r="AD59" i="22"/>
  <c r="AI21" i="23"/>
  <c r="C52" i="16"/>
  <c r="C115" i="17"/>
  <c r="C36" i="17"/>
  <c r="C23" i="17"/>
  <c r="C65" i="17"/>
  <c r="Y121" i="16"/>
  <c r="Y130" i="16" s="1"/>
  <c r="AA65" i="23"/>
  <c r="AA89" i="23" s="1"/>
  <c r="AD70" i="25" l="1"/>
  <c r="AI22" i="18"/>
  <c r="AK22" i="18" s="1"/>
  <c r="C72" i="17"/>
  <c r="C44" i="17"/>
  <c r="C68" i="17"/>
  <c r="B21" i="5"/>
  <c r="C91" i="17"/>
  <c r="C120" i="17"/>
  <c r="C98" i="17"/>
  <c r="C119" i="17"/>
  <c r="C74" i="17"/>
  <c r="C66" i="17"/>
  <c r="C45" i="17"/>
  <c r="C47" i="17"/>
  <c r="C87" i="17"/>
  <c r="C95" i="17"/>
  <c r="B29" i="5"/>
  <c r="D110" i="18"/>
  <c r="D116" i="18" s="1"/>
  <c r="E93" i="23"/>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D18" i="2" s="1"/>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P49" i="2" l="1"/>
  <c r="V49" i="2" s="1"/>
  <c r="C137" i="16" s="1"/>
  <c r="C41" i="17"/>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21" i="24"/>
  <c r="AL21" i="24" s="1"/>
  <c r="V47" i="22"/>
  <c r="V59" i="22"/>
  <c r="V33" i="29"/>
  <c r="V25" i="28"/>
  <c r="V28" i="28" s="1"/>
  <c r="V25" i="29"/>
  <c r="V28" i="29" s="1"/>
  <c r="P28" i="20"/>
  <c r="P116" i="19"/>
  <c r="P28" i="19"/>
  <c r="P37" i="19" s="1"/>
  <c r="AB21" i="17" l="1"/>
  <c r="AF93" i="23"/>
  <c r="AF94" i="23"/>
  <c r="R50" i="2" s="1"/>
  <c r="L43" i="18"/>
  <c r="L110" i="18"/>
  <c r="L116" i="18" s="1"/>
  <c r="L26" i="18"/>
  <c r="L36" i="18"/>
  <c r="AL70" i="19"/>
  <c r="N70" i="21"/>
  <c r="N79" i="21" s="1"/>
  <c r="L25" i="29"/>
  <c r="L28" i="27"/>
  <c r="M23" i="26"/>
  <c r="O78" i="24"/>
  <c r="O85" i="24" s="1"/>
  <c r="L47" i="22"/>
  <c r="M33" i="26"/>
  <c r="L19" i="27"/>
  <c r="O30" i="24"/>
  <c r="L59" i="22"/>
  <c r="L17" i="29"/>
  <c r="O27" i="24"/>
  <c r="L25" i="28"/>
  <c r="L28" i="28" s="1"/>
  <c r="N52" i="21"/>
  <c r="N56" i="21" s="1"/>
  <c r="V33" i="28"/>
  <c r="V37" i="28" s="1"/>
  <c r="V20" i="22"/>
  <c r="V69" i="22"/>
  <c r="V37" i="29"/>
  <c r="K26" i="17" l="1"/>
  <c r="K26" i="16"/>
  <c r="M61" i="23"/>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F22" i="39"/>
  <c r="F47" i="39"/>
  <c r="F38" i="39"/>
  <c r="F28" i="39"/>
  <c r="F30" i="39" l="1"/>
  <c r="F50" i="39" l="1"/>
  <c r="F52" i="39" s="1"/>
  <c r="C46" i="16"/>
  <c r="X114" i="20" l="1"/>
  <c r="G46" i="40"/>
  <c r="G48" i="40" s="1"/>
  <c r="D48" i="40" l="1"/>
  <c r="E59" i="23"/>
  <c r="AF59" i="23" s="1"/>
  <c r="E60" i="23"/>
  <c r="C79" i="16"/>
  <c r="AD54" i="19"/>
  <c r="X35" i="19"/>
  <c r="X28" i="19"/>
  <c r="X98" i="19"/>
  <c r="X37" i="19" l="1"/>
  <c r="C34" i="16"/>
  <c r="C100" i="16"/>
  <c r="AB100" i="16" s="1"/>
  <c r="AD21" i="19"/>
  <c r="E52" i="23"/>
  <c r="AF52" i="23" s="1"/>
  <c r="AK66" i="18"/>
  <c r="E70" i="23"/>
  <c r="P25" i="2" s="1"/>
  <c r="E49" i="23"/>
  <c r="AE35" i="17"/>
  <c r="E58" i="23"/>
  <c r="E30" i="23"/>
  <c r="P23" i="6"/>
  <c r="C99" i="16"/>
  <c r="AC43" i="18"/>
  <c r="AC53" i="18" s="1"/>
  <c r="AG22" i="19"/>
  <c r="AI66" i="18"/>
  <c r="E22" i="23"/>
  <c r="P34" i="15" s="1"/>
  <c r="E77" i="23"/>
  <c r="P32" i="2" s="1"/>
  <c r="AE92" i="17"/>
  <c r="E26" i="23"/>
  <c r="P41" i="15" s="1"/>
  <c r="AJ19" i="25"/>
  <c r="F30" i="2"/>
  <c r="AD28" i="20"/>
  <c r="G23" i="12"/>
  <c r="C80" i="16"/>
  <c r="AC110" i="18"/>
  <c r="AC116" i="18" s="1"/>
  <c r="C92" i="16"/>
  <c r="C101" i="16"/>
  <c r="AI43" i="23"/>
  <c r="AI74" i="23"/>
  <c r="E63" i="23"/>
  <c r="P19" i="2" s="1"/>
  <c r="C71" i="16"/>
  <c r="P35" i="5"/>
  <c r="E69" i="23"/>
  <c r="P24" i="2" s="1"/>
  <c r="E74" i="23"/>
  <c r="P29" i="2" s="1"/>
  <c r="I25" i="10"/>
  <c r="C66" i="16"/>
  <c r="E25" i="23"/>
  <c r="P40" i="15" s="1"/>
  <c r="C81" i="16"/>
  <c r="E57" i="23"/>
  <c r="AC92" i="18"/>
  <c r="E43" i="23"/>
  <c r="AF43" i="23" s="1"/>
  <c r="E20" i="23"/>
  <c r="E27" i="23"/>
  <c r="E54" i="23"/>
  <c r="F28" i="2"/>
  <c r="E21" i="23"/>
  <c r="P32" i="15" s="1"/>
  <c r="AJ33" i="25"/>
  <c r="E81" i="23"/>
  <c r="P36" i="2" s="1"/>
  <c r="X80" i="19"/>
  <c r="AC79" i="23"/>
  <c r="AC86" i="23" s="1"/>
  <c r="AC61" i="23"/>
  <c r="AC31" i="23"/>
  <c r="AC28" i="23"/>
  <c r="AC23" i="23"/>
  <c r="AF27" i="23" l="1"/>
  <c r="P44" i="15"/>
  <c r="P45" i="15" s="1"/>
  <c r="AF20" i="23"/>
  <c r="P29" i="15"/>
  <c r="P51" i="15"/>
  <c r="P54" i="15" s="1"/>
  <c r="AF21" i="23"/>
  <c r="AF22" i="23"/>
  <c r="C53" i="16"/>
  <c r="C56" i="16" s="1"/>
  <c r="AD114" i="19"/>
  <c r="C45" i="16"/>
  <c r="C35" i="16"/>
  <c r="AB35" i="16" s="1"/>
  <c r="C37" i="16"/>
  <c r="C32" i="16"/>
  <c r="AD100" i="19"/>
  <c r="C43" i="16"/>
  <c r="C85"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P37" i="2" s="1"/>
  <c r="C67" i="16"/>
  <c r="C102" i="16"/>
  <c r="C73" i="16"/>
  <c r="C89" i="16"/>
  <c r="C87" i="16"/>
  <c r="C86" i="16"/>
  <c r="AC96" i="18"/>
  <c r="AC119" i="18" s="1"/>
  <c r="AC137" i="18" s="1"/>
  <c r="E51" i="23"/>
  <c r="E73" i="23"/>
  <c r="P28" i="2" s="1"/>
  <c r="E45" i="23"/>
  <c r="E92" i="23"/>
  <c r="P48" i="2" s="1"/>
  <c r="E41" i="23"/>
  <c r="C72" i="16" s="1"/>
  <c r="C62" i="16"/>
  <c r="D28" i="19"/>
  <c r="H15" i="2" s="1"/>
  <c r="C96" i="16"/>
  <c r="D35" i="19"/>
  <c r="H16" i="2" s="1"/>
  <c r="E56" i="23"/>
  <c r="E44" i="23"/>
  <c r="C76" i="16" s="1"/>
  <c r="E76" i="23"/>
  <c r="P31" i="2" s="1"/>
  <c r="E39" i="23"/>
  <c r="C65" i="16" s="1"/>
  <c r="E84" i="23"/>
  <c r="E71" i="23"/>
  <c r="P26" i="2" s="1"/>
  <c r="E37" i="23"/>
  <c r="C63" i="16" s="1"/>
  <c r="E50" i="23"/>
  <c r="E46" i="23"/>
  <c r="AF46" i="23" s="1"/>
  <c r="E83" i="23"/>
  <c r="P38" i="2" s="1"/>
  <c r="C68" i="16"/>
  <c r="E55" i="23"/>
  <c r="C97" i="16"/>
  <c r="E78" i="23"/>
  <c r="P33" i="2" s="1"/>
  <c r="E75" i="23"/>
  <c r="C91" i="16"/>
  <c r="C75" i="16"/>
  <c r="E47" i="23"/>
  <c r="AD43" i="19"/>
  <c r="AD101" i="19"/>
  <c r="X84" i="19"/>
  <c r="AC33" i="23"/>
  <c r="AC65" i="23" s="1"/>
  <c r="AC89" i="23" s="1"/>
  <c r="AC101" i="23" s="1"/>
  <c r="C77" i="16" l="1"/>
  <c r="AF45" i="23"/>
  <c r="AF84" i="23"/>
  <c r="P41" i="2"/>
  <c r="AF75" i="23"/>
  <c r="P30" i="2"/>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8" i="16"/>
  <c r="C113" i="16"/>
  <c r="C94" i="16"/>
  <c r="C128" i="16"/>
  <c r="C82" i="16"/>
  <c r="C117" i="16"/>
  <c r="C83" i="16"/>
  <c r="C120" i="16"/>
  <c r="Z33" i="37"/>
  <c r="Z45" i="37" s="1"/>
  <c r="E130" i="16"/>
  <c r="D80" i="19"/>
  <c r="H18" i="2" s="1"/>
  <c r="C139" i="17"/>
  <c r="D98" i="19"/>
  <c r="D107" i="19" s="1"/>
  <c r="D116" i="19"/>
  <c r="C121" i="17"/>
  <c r="C130" i="17" s="1"/>
  <c r="J19" i="33"/>
  <c r="J16" i="33"/>
  <c r="D20" i="33"/>
  <c r="AB137" i="16" l="1"/>
  <c r="E30" i="16"/>
  <c r="E58" i="16" s="1"/>
  <c r="E107" i="16" s="1"/>
  <c r="E133" i="16" s="1"/>
  <c r="AB26" i="16"/>
  <c r="E133" i="17"/>
  <c r="D84" i="19"/>
  <c r="D110" i="19" s="1"/>
  <c r="D120" i="19" s="1"/>
  <c r="J20" i="33"/>
  <c r="P20" i="22"/>
  <c r="H29" i="36"/>
  <c r="N35" i="19" l="1"/>
  <c r="N37" i="19" l="1"/>
  <c r="B34" i="6"/>
  <c r="B39" i="6" s="1"/>
  <c r="AE105" i="17"/>
  <c r="AJ105" i="17" s="1"/>
  <c r="P47" i="22"/>
  <c r="P69" i="22"/>
  <c r="R52" i="21"/>
  <c r="R56" i="21" s="1"/>
  <c r="L42" i="2"/>
  <c r="A6" i="34"/>
  <c r="F34" i="6" l="1"/>
  <c r="S23" i="23"/>
  <c r="AA49" i="3"/>
  <c r="G30" i="9"/>
  <c r="R35" i="19"/>
  <c r="S28" i="23"/>
  <c r="L51" i="2"/>
  <c r="S61" i="23"/>
  <c r="A6" i="37"/>
  <c r="T9" i="37"/>
  <c r="B9" i="37"/>
  <c r="A5" i="44" l="1"/>
  <c r="A5" i="45" s="1"/>
  <c r="A6" i="38"/>
  <c r="A6" i="39" s="1"/>
  <c r="B6" i="40" s="1"/>
  <c r="S33" i="23"/>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1" i="23"/>
  <c r="AG17" i="19"/>
  <c r="AL17" i="19" s="1"/>
  <c r="AI83" i="18"/>
  <c r="AK83" i="18" s="1"/>
  <c r="AI56" i="23"/>
  <c r="AN56" i="23" s="1"/>
  <c r="AI60" i="23"/>
  <c r="AN60" i="23" s="1"/>
  <c r="AD98" i="20"/>
  <c r="AD105" i="20" s="1"/>
  <c r="AI26" i="23"/>
  <c r="AD35" i="20"/>
  <c r="AD37" i="20" s="1"/>
  <c r="X116" i="19" l="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F55" i="23"/>
  <c r="AA28" i="28"/>
  <c r="H43" i="37"/>
  <c r="F43" i="37"/>
  <c r="D43" i="37"/>
  <c r="B43" i="37"/>
  <c r="H33" i="37"/>
  <c r="F33" i="37"/>
  <c r="D33" i="37"/>
  <c r="B33" i="37"/>
  <c r="H25" i="37"/>
  <c r="F25" i="37"/>
  <c r="D25" i="37"/>
  <c r="B25" i="37"/>
  <c r="AB37" i="26" l="1"/>
  <c r="AB49" i="26" s="1"/>
  <c r="K146" i="30"/>
  <c r="AD84" i="20"/>
  <c r="AD108" i="20" s="1"/>
  <c r="AD37" i="29"/>
  <c r="AA32" i="27"/>
  <c r="AA44" i="27" s="1"/>
  <c r="N98" i="19"/>
  <c r="N107" i="19" s="1"/>
  <c r="AD32" i="24"/>
  <c r="AD64" i="24" s="1"/>
  <c r="AF26" i="23"/>
  <c r="AD82" i="21"/>
  <c r="AF50" i="23"/>
  <c r="AF81" i="23"/>
  <c r="AF47" i="23"/>
  <c r="AF70" i="23"/>
  <c r="AF73" i="23"/>
  <c r="AF71" i="23"/>
  <c r="AF83" i="23"/>
  <c r="AF82" i="23"/>
  <c r="D45" i="37"/>
  <c r="H45" i="37"/>
  <c r="F45" i="37"/>
  <c r="B45" i="37"/>
  <c r="AD88" i="24" l="1"/>
  <c r="AD100" i="24" s="1"/>
  <c r="N80" i="19"/>
  <c r="AB98" i="19"/>
  <c r="G189"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P17" i="2" s="1"/>
  <c r="K28" i="23"/>
  <c r="H59" i="22"/>
  <c r="F59" i="22"/>
  <c r="D59" i="22"/>
  <c r="B59" i="22"/>
  <c r="H47" i="22"/>
  <c r="F47" i="22"/>
  <c r="D47" i="22"/>
  <c r="B47" i="22"/>
  <c r="L18" i="2" s="1"/>
  <c r="H20" i="22"/>
  <c r="F20" i="22"/>
  <c r="D20" i="22"/>
  <c r="B20" i="22"/>
  <c r="L15" i="2" s="1"/>
  <c r="H70" i="21"/>
  <c r="H79" i="21" s="1"/>
  <c r="F70" i="21"/>
  <c r="F79" i="21" s="1"/>
  <c r="D70" i="21"/>
  <c r="D79" i="21" s="1"/>
  <c r="J52" i="21"/>
  <c r="J56" i="21" s="1"/>
  <c r="H52" i="21"/>
  <c r="H56" i="21" s="1"/>
  <c r="F52" i="21"/>
  <c r="F56" i="21" s="1"/>
  <c r="D52" i="21"/>
  <c r="D56" i="21" s="1"/>
  <c r="J98" i="20"/>
  <c r="J105" i="20" s="1"/>
  <c r="H98" i="20"/>
  <c r="H105" i="20" s="1"/>
  <c r="F98" i="20"/>
  <c r="F105" i="20" s="1"/>
  <c r="D98" i="20"/>
  <c r="D105" i="20" s="1"/>
  <c r="J80" i="20"/>
  <c r="H80" i="20"/>
  <c r="F80" i="20"/>
  <c r="D80" i="20"/>
  <c r="H19" i="3" s="1"/>
  <c r="J35" i="20"/>
  <c r="H35" i="20"/>
  <c r="F35" i="20"/>
  <c r="D35" i="20"/>
  <c r="H17" i="3" s="1"/>
  <c r="J28" i="20"/>
  <c r="H28" i="20"/>
  <c r="F28" i="20"/>
  <c r="D28" i="20"/>
  <c r="H16" i="3" s="1"/>
  <c r="G110" i="19"/>
  <c r="J35" i="19"/>
  <c r="H35" i="19"/>
  <c r="J110" i="18"/>
  <c r="J116" i="18" s="1"/>
  <c r="H110" i="18"/>
  <c r="H116" i="18" s="1"/>
  <c r="F110" i="18"/>
  <c r="F116" i="18" s="1"/>
  <c r="J92" i="18"/>
  <c r="H92" i="18"/>
  <c r="F92" i="18"/>
  <c r="J43" i="18"/>
  <c r="H43" i="18"/>
  <c r="F43" i="18"/>
  <c r="D43" i="18"/>
  <c r="D16" i="2" s="1"/>
  <c r="J36" i="18"/>
  <c r="H36" i="18"/>
  <c r="F36" i="18"/>
  <c r="D36" i="18"/>
  <c r="D15" i="2" s="1"/>
  <c r="J26" i="18"/>
  <c r="H26" i="18"/>
  <c r="F26" i="18"/>
  <c r="J37" i="20" l="1"/>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53" i="18"/>
  <c r="F96" i="18" s="1"/>
  <c r="F119" i="18" s="1"/>
  <c r="H80" i="19"/>
  <c r="D26" i="22"/>
  <c r="D51" i="22" s="1"/>
  <c r="D62" i="22" s="1"/>
  <c r="B32" i="27"/>
  <c r="E70" i="25"/>
  <c r="E37" i="26"/>
  <c r="E49" i="26" s="1"/>
  <c r="K23" i="23"/>
  <c r="E79" i="23"/>
  <c r="E86" i="23" s="1"/>
  <c r="J98" i="19"/>
  <c r="J107" i="19" s="1"/>
  <c r="I23" i="23"/>
  <c r="E28" i="23"/>
  <c r="P16" i="2" s="1"/>
  <c r="H28" i="28"/>
  <c r="F26" i="22"/>
  <c r="F51" i="22" s="1"/>
  <c r="F62" i="22" s="1"/>
  <c r="B28" i="29"/>
  <c r="B28" i="28"/>
  <c r="F28" i="28"/>
  <c r="D82" i="21"/>
  <c r="I28" i="23"/>
  <c r="G32" i="24"/>
  <c r="G64" i="24" s="1"/>
  <c r="G88" i="24" s="1"/>
  <c r="I32" i="24"/>
  <c r="I64" i="24" s="1"/>
  <c r="I88" i="24" s="1"/>
  <c r="K32" i="24"/>
  <c r="K64" i="24" s="1"/>
  <c r="K88" i="24" s="1"/>
  <c r="E32" i="24"/>
  <c r="E64" i="24" s="1"/>
  <c r="E88" i="24" s="1"/>
  <c r="K79" i="23"/>
  <c r="K86" i="23" s="1"/>
  <c r="I61" i="23"/>
  <c r="E61" i="23"/>
  <c r="P18" i="2" s="1"/>
  <c r="K61" i="23"/>
  <c r="J37" i="19" l="1"/>
  <c r="J84" i="19" s="1"/>
  <c r="J110" i="19" s="1"/>
  <c r="H37" i="19"/>
  <c r="H84" i="19" s="1"/>
  <c r="H110" i="19" s="1"/>
  <c r="K33" i="23"/>
  <c r="K65" i="23" s="1"/>
  <c r="I33" i="23"/>
  <c r="I65" i="23" s="1"/>
  <c r="I89" i="23" s="1"/>
  <c r="A5" i="14"/>
  <c r="A5" i="13"/>
  <c r="A5" i="12"/>
  <c r="A5" i="11"/>
  <c r="A5" i="10"/>
  <c r="A5" i="9"/>
  <c r="A5" i="8"/>
  <c r="K89" i="23" l="1"/>
  <c r="AD48" i="18"/>
  <c r="C32" i="10" l="1"/>
  <c r="M32" i="10" s="1"/>
  <c r="E32" i="10"/>
  <c r="T32" i="11"/>
  <c r="I32" i="11"/>
  <c r="R40" i="15"/>
  <c r="O32" i="10" l="1"/>
  <c r="E32" i="7"/>
  <c r="K136" i="30"/>
  <c r="K134"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I42" i="10"/>
  <c r="I35" i="10"/>
  <c r="I40" i="13"/>
  <c r="N28" i="15" l="1"/>
  <c r="N37" i="15" s="1"/>
  <c r="G96" i="23" l="1"/>
  <c r="G101" i="23" l="1"/>
  <c r="AA51" i="3" l="1"/>
  <c r="R34" i="11" l="1"/>
  <c r="AG30" i="19"/>
  <c r="AI27" i="23" l="1"/>
  <c r="Q30" i="16" l="1"/>
  <c r="Q58" i="16" l="1"/>
  <c r="Q107" i="16" s="1"/>
  <c r="Q133" i="16" s="1"/>
  <c r="AI55" i="23"/>
  <c r="AG54" i="19"/>
  <c r="AG59" i="19"/>
  <c r="AI52" i="23"/>
  <c r="AG56" i="19"/>
  <c r="AL56" i="19" s="1"/>
  <c r="AG24" i="19"/>
  <c r="AI50" i="23"/>
  <c r="AI71" i="23"/>
  <c r="AI92" i="23"/>
  <c r="AN92" i="23" s="1"/>
  <c r="AI58" i="23"/>
  <c r="AI49" i="23"/>
  <c r="P33" i="6"/>
  <c r="AG60" i="19"/>
  <c r="AG75" i="19"/>
  <c r="AG94" i="19"/>
  <c r="AG44" i="19"/>
  <c r="AI82" i="23"/>
  <c r="AG74" i="19"/>
  <c r="AG48" i="19"/>
  <c r="AI30" i="23"/>
  <c r="AG96" i="19"/>
  <c r="AI45" i="23"/>
  <c r="AI39" i="23"/>
  <c r="AI37" i="23"/>
  <c r="AG71" i="19"/>
  <c r="AG73" i="19"/>
  <c r="AE96" i="16" s="1"/>
  <c r="AG88" i="19"/>
  <c r="AI70" i="23"/>
  <c r="AG31" i="19"/>
  <c r="AG97" i="19"/>
  <c r="AG53" i="19"/>
  <c r="AI83" i="23"/>
  <c r="AG58" i="19"/>
  <c r="AL58" i="19" s="1"/>
  <c r="AG25" i="19"/>
  <c r="P24" i="6"/>
  <c r="AG23" i="19"/>
  <c r="AE35" i="16" s="1"/>
  <c r="AG95" i="19"/>
  <c r="AG51" i="19"/>
  <c r="P26" i="5"/>
  <c r="AG79" i="19"/>
  <c r="AG62" i="19"/>
  <c r="AG32" i="19"/>
  <c r="AG78" i="19"/>
  <c r="AI76" i="23"/>
  <c r="AN76" i="23" s="1"/>
  <c r="AG93" i="19"/>
  <c r="AG50" i="19"/>
  <c r="AG34" i="19"/>
  <c r="AG52" i="19"/>
  <c r="AI73" i="23"/>
  <c r="AI22" i="23"/>
  <c r="AI59" i="23"/>
  <c r="AI20" i="23"/>
  <c r="AI47" i="23"/>
  <c r="AG41" i="19"/>
  <c r="AE62" i="16" s="1"/>
  <c r="AI54" i="23"/>
  <c r="AD40" i="2"/>
  <c r="P20" i="5"/>
  <c r="AG100" i="19"/>
  <c r="AG33" i="19"/>
  <c r="AE46" i="16" s="1"/>
  <c r="AI69" i="23"/>
  <c r="P36" i="5"/>
  <c r="AG57" i="19"/>
  <c r="AG49" i="19"/>
  <c r="AG89" i="19"/>
  <c r="AI78" i="23"/>
  <c r="AG43" i="19"/>
  <c r="AI81" i="23"/>
  <c r="AI41" i="23"/>
  <c r="AI75" i="23"/>
  <c r="AG72" i="19"/>
  <c r="AG68" i="19"/>
  <c r="AG64" i="19"/>
  <c r="AG21" i="19"/>
  <c r="AI25" i="23"/>
  <c r="AG46" i="19"/>
  <c r="AI63" i="23"/>
  <c r="AI77" i="23"/>
  <c r="AG26" i="19"/>
  <c r="AL26" i="19" s="1"/>
  <c r="P25" i="6"/>
  <c r="AD20" i="22"/>
  <c r="AD26" i="22" s="1"/>
  <c r="AD51" i="22" s="1"/>
  <c r="AD62" i="22" s="1"/>
  <c r="AG90" i="19"/>
  <c r="AG82" i="19"/>
  <c r="AG65" i="19"/>
  <c r="P19" i="5"/>
  <c r="AG105" i="19"/>
  <c r="AL105" i="19" s="1"/>
  <c r="AG102" i="19"/>
  <c r="P27" i="5"/>
  <c r="AI42" i="23"/>
  <c r="AG20" i="19"/>
  <c r="AG63" i="19"/>
  <c r="AG77" i="19"/>
  <c r="AI44" i="23"/>
  <c r="AG92" i="19"/>
  <c r="AG76" i="19"/>
  <c r="AG45" i="19"/>
  <c r="AG66" i="19"/>
  <c r="AE85" i="16" l="1"/>
  <c r="AI31" i="23"/>
  <c r="AE53" i="16"/>
  <c r="AE128" i="17"/>
  <c r="AH128" i="17" s="1"/>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4" i="42" l="1"/>
  <c r="M200" i="42"/>
  <c r="X13" i="15"/>
  <c r="V13" i="15"/>
  <c r="R13" i="15"/>
  <c r="P13" i="15"/>
  <c r="N13" i="15"/>
  <c r="L13" i="15"/>
  <c r="J13" i="15"/>
  <c r="H13" i="15"/>
  <c r="AD12" i="15"/>
  <c r="X12" i="15"/>
  <c r="R12" i="15"/>
  <c r="N12" i="15"/>
  <c r="J12" i="15"/>
  <c r="M199" i="42" l="1"/>
  <c r="AJ55" i="24"/>
  <c r="AL38" i="25"/>
  <c r="AJ38" i="25"/>
  <c r="AL56" i="23" l="1"/>
  <c r="R28" i="20" l="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3"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K39" i="30" l="1"/>
  <c r="Z12" i="43"/>
  <c r="Z41" i="43"/>
  <c r="B41" i="43"/>
  <c r="D41" i="43"/>
  <c r="F41" i="43"/>
  <c r="H41" i="43"/>
  <c r="L41" i="43"/>
  <c r="T41" i="43"/>
  <c r="V41" i="43"/>
  <c r="X41" i="43"/>
  <c r="V43" i="43" l="1"/>
  <c r="F43" i="43"/>
  <c r="B43" i="43"/>
  <c r="B45" i="43" s="1"/>
  <c r="L43" i="43"/>
  <c r="D43" i="43"/>
  <c r="X43" i="43"/>
  <c r="H43" i="43"/>
  <c r="D45" i="43" l="1"/>
  <c r="F45" i="43" l="1"/>
  <c r="H45" i="43" l="1"/>
  <c r="AL57" i="23" l="1"/>
  <c r="AN57" i="23" s="1"/>
  <c r="M202" i="42" l="1"/>
  <c r="AJ56" i="24"/>
  <c r="AL56" i="24" s="1"/>
  <c r="AJ49" i="21" l="1"/>
  <c r="AL49" i="21" s="1"/>
  <c r="AD74" i="22" l="1"/>
  <c r="X69" i="22" l="1"/>
  <c r="X59" i="22"/>
  <c r="X47" i="22"/>
  <c r="X20" i="22"/>
  <c r="T69" i="22"/>
  <c r="T59" i="22"/>
  <c r="T47" i="22"/>
  <c r="T20" i="22"/>
  <c r="R69" i="22"/>
  <c r="R59" i="22"/>
  <c r="R47" i="22"/>
  <c r="R20" i="22"/>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G25" i="13" l="1"/>
  <c r="G40" i="7"/>
  <c r="AN42" i="23" l="1"/>
  <c r="AJ24" i="25"/>
  <c r="AJ41" i="24"/>
  <c r="AL42" i="23" l="1"/>
  <c r="AA34" i="3" l="1"/>
  <c r="AI87" i="18" l="1"/>
  <c r="AI88" i="18"/>
  <c r="AK88" i="18" s="1"/>
  <c r="AE101" i="17"/>
  <c r="AE66" i="17"/>
  <c r="AG46" i="22" l="1"/>
  <c r="AI46" i="22" s="1"/>
  <c r="AG30" i="22"/>
  <c r="AI30" i="22" s="1"/>
  <c r="AE97" i="17" l="1"/>
  <c r="AN50" i="23" l="1"/>
  <c r="AJ32" i="25"/>
  <c r="AJ49" i="24"/>
  <c r="AL49" i="24" s="1"/>
  <c r="AL50" i="23" l="1"/>
  <c r="R80" i="20" l="1"/>
  <c r="AL25" i="23" l="1"/>
  <c r="AA42" i="25" l="1"/>
  <c r="Y42" i="25"/>
  <c r="W42" i="25"/>
  <c r="S42" i="25"/>
  <c r="AF60" i="23" l="1"/>
  <c r="W103" i="16"/>
  <c r="W107" i="16" s="1"/>
  <c r="W61" i="23"/>
  <c r="A39" i="13"/>
  <c r="A41" i="11"/>
  <c r="A41" i="10"/>
  <c r="A49" i="9"/>
  <c r="W65" i="23" l="1"/>
  <c r="W89" i="23" s="1"/>
  <c r="W101" i="23" s="1"/>
  <c r="Q31" i="14"/>
  <c r="AL59" i="25"/>
  <c r="Q24" i="14"/>
  <c r="G32" i="14"/>
  <c r="R31" i="11"/>
  <c r="G33" i="11"/>
  <c r="G31" i="11"/>
  <c r="G24" i="11"/>
  <c r="AJ75" i="20"/>
  <c r="AL75" i="20" s="1"/>
  <c r="AJ63" i="20"/>
  <c r="AL63" i="20" s="1"/>
  <c r="G20" i="1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R30" i="11"/>
  <c r="AL54" i="21"/>
  <c r="R24" i="11"/>
  <c r="G24" i="14"/>
  <c r="G26" i="14"/>
  <c r="G31" i="14"/>
  <c r="AJ93" i="24"/>
  <c r="AL93" i="24" s="1"/>
  <c r="Q32" i="14"/>
  <c r="R23" i="11"/>
  <c r="N14" i="2"/>
  <c r="AE72" i="16"/>
  <c r="AE75" i="16"/>
  <c r="AG16" i="22"/>
  <c r="AI16" i="22" s="1"/>
  <c r="Q23" i="14"/>
  <c r="G20" i="12"/>
  <c r="AE76" i="16"/>
  <c r="AG33" i="22"/>
  <c r="AI33" i="22" s="1"/>
  <c r="G34"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6" i="19"/>
  <c r="K139" i="30" l="1"/>
  <c r="G11" i="42"/>
  <c r="J37" i="5"/>
  <c r="J29" i="5"/>
  <c r="L92" i="21"/>
  <c r="L120" i="19" l="1"/>
  <c r="AE138" i="16" l="1"/>
  <c r="Z35" i="20"/>
  <c r="X35" i="20"/>
  <c r="V35" i="20"/>
  <c r="T35" i="20"/>
  <c r="R35" i="20"/>
  <c r="P35" i="20"/>
  <c r="L35" i="20"/>
  <c r="Z28" i="20"/>
  <c r="X28" i="20"/>
  <c r="V28" i="20"/>
  <c r="T28" i="20"/>
  <c r="L28" i="20"/>
  <c r="AG35" i="20"/>
  <c r="AG37" i="20" s="1"/>
  <c r="R37" i="20" l="1"/>
  <c r="P37" i="20"/>
  <c r="P84" i="20" s="1"/>
  <c r="P108" i="20" s="1"/>
  <c r="P118" i="20" s="1"/>
  <c r="V37" i="20"/>
  <c r="T37" i="20"/>
  <c r="X37" i="20"/>
  <c r="L37" i="20"/>
  <c r="AE102" i="17" l="1"/>
  <c r="AE99" i="17"/>
  <c r="AE98" i="17"/>
  <c r="AE95" i="17"/>
  <c r="AE94" i="17"/>
  <c r="AE91" i="17"/>
  <c r="AE89" i="17"/>
  <c r="AE83" i="17"/>
  <c r="AE88" i="17"/>
  <c r="AE87" i="17"/>
  <c r="AE86" i="17"/>
  <c r="AE82" i="17"/>
  <c r="AE81" i="17"/>
  <c r="AJ81" i="17" s="1"/>
  <c r="AE80" i="17"/>
  <c r="AE79" i="17"/>
  <c r="AJ79" i="17" s="1"/>
  <c r="AE77" i="17"/>
  <c r="AE68" i="17"/>
  <c r="AE67" i="17"/>
  <c r="AE65" i="17"/>
  <c r="AE63" i="17"/>
  <c r="AE33" i="17"/>
  <c r="AE38" i="17"/>
  <c r="AJ38" i="17" s="1"/>
  <c r="AE36" i="17"/>
  <c r="AE47" i="17"/>
  <c r="AE44" i="17"/>
  <c r="AE127" i="17"/>
  <c r="AE124" i="17"/>
  <c r="AE125" i="17"/>
  <c r="AE123" i="17"/>
  <c r="AE120" i="17"/>
  <c r="AE119" i="17"/>
  <c r="AE118" i="17"/>
  <c r="AE117" i="17"/>
  <c r="AE116" i="17"/>
  <c r="AE115" i="17"/>
  <c r="AE113" i="17"/>
  <c r="AE112" i="17"/>
  <c r="AE111" i="17"/>
  <c r="AE63" i="16" l="1"/>
  <c r="AE62" i="17"/>
  <c r="AE121" i="17"/>
  <c r="AE130" i="17" s="1"/>
  <c r="G23" i="11" l="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J79" i="16" s="1"/>
  <c r="AE83" i="16"/>
  <c r="AE94" i="16"/>
  <c r="AE102" i="16"/>
  <c r="AJ30" i="20"/>
  <c r="AE77" i="16"/>
  <c r="AE82" i="16"/>
  <c r="AE33" i="16"/>
  <c r="AE38" i="16"/>
  <c r="AE45" i="16"/>
  <c r="AE65" i="16"/>
  <c r="AE81" i="16"/>
  <c r="AJ81" i="16" s="1"/>
  <c r="AE87" i="16"/>
  <c r="AE32" i="16"/>
  <c r="AE37" i="16"/>
  <c r="AE44" i="16"/>
  <c r="AE98" i="16"/>
  <c r="AE34" i="16"/>
  <c r="AE88" i="16"/>
  <c r="AE80" i="16"/>
  <c r="AE86"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J43" i="24"/>
  <c r="AL43" i="24" s="1"/>
  <c r="AJ48" i="24"/>
  <c r="AL48" i="24" s="1"/>
  <c r="AJ46" i="24"/>
  <c r="AJ40" i="24"/>
  <c r="AL40" i="24" s="1"/>
  <c r="AJ36" i="24"/>
  <c r="AL36" i="24" s="1"/>
  <c r="AJ38" i="24"/>
  <c r="AL38" i="24" s="1"/>
  <c r="AJ17" i="20"/>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X80" i="20"/>
  <c r="V80" i="20"/>
  <c r="T80" i="20"/>
  <c r="L80" i="20"/>
  <c r="AA46" i="25"/>
  <c r="Y46" i="25"/>
  <c r="W46" i="25"/>
  <c r="S46" i="25"/>
  <c r="O46" i="25"/>
  <c r="AG60" i="24"/>
  <c r="AA19" i="3" l="1"/>
  <c r="AE41" i="16"/>
  <c r="AG37" i="19"/>
  <c r="AG84" i="19" s="1"/>
  <c r="AG110" i="19" s="1"/>
  <c r="AG120"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G22" i="9"/>
  <c r="T84" i="20"/>
  <c r="AG24" i="22"/>
  <c r="AI24" i="22" s="1"/>
  <c r="G22" i="12"/>
  <c r="N17" i="2"/>
  <c r="AG20" i="22"/>
  <c r="AI20" i="22" s="1"/>
  <c r="G21" i="12"/>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G22" i="10"/>
  <c r="K22" i="10" s="1"/>
  <c r="G20" i="9"/>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F20" i="3" s="1"/>
  <c r="AH102" i="17"/>
  <c r="AJ102" i="17" s="1"/>
  <c r="AH96" i="17"/>
  <c r="AJ96" i="17" s="1"/>
  <c r="AH81" i="17"/>
  <c r="AH80" i="17"/>
  <c r="AJ80" i="17" s="1"/>
  <c r="AH79" i="17"/>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0" i="20"/>
  <c r="AL60" i="20" s="1"/>
  <c r="AJ65" i="20"/>
  <c r="AL65" i="20" s="1"/>
  <c r="AJ64" i="20"/>
  <c r="AL64" i="20" s="1"/>
  <c r="AJ62" i="20"/>
  <c r="AL62" i="20" s="1"/>
  <c r="AJ59" i="20"/>
  <c r="AL59" i="20" s="1"/>
  <c r="AJ58" i="20"/>
  <c r="AJ57" i="20"/>
  <c r="AL57" i="20" s="1"/>
  <c r="AJ56" i="20"/>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H80" i="16"/>
  <c r="AJ80" i="16" s="1"/>
  <c r="AH79" i="16"/>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AE49" i="26" l="1"/>
  <c r="L36" i="5"/>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0"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3" i="19"/>
  <c r="AJ63" i="19" s="1"/>
  <c r="AL63" i="19" s="1"/>
  <c r="AD65" i="19"/>
  <c r="AJ65" i="19" s="1"/>
  <c r="AL65" i="19" s="1"/>
  <c r="AD60" i="19"/>
  <c r="AJ60" i="19" s="1"/>
  <c r="AL60"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D49" i="19"/>
  <c r="AJ49" i="19" s="1"/>
  <c r="AL49" i="19" s="1"/>
  <c r="AD62" i="19"/>
  <c r="AJ62" i="19" s="1"/>
  <c r="AL62" i="19" s="1"/>
  <c r="AD56" i="19"/>
  <c r="AJ56" i="19" s="1"/>
  <c r="AI90" i="18"/>
  <c r="AK90" i="18" s="1"/>
  <c r="AI74" i="18"/>
  <c r="AI73" i="18"/>
  <c r="AK73" i="18" s="1"/>
  <c r="AI61" i="18"/>
  <c r="AK61" i="18" s="1"/>
  <c r="AI60" i="18"/>
  <c r="AK60" i="18" s="1"/>
  <c r="AB85" i="17" l="1"/>
  <c r="AH85" i="17" s="1"/>
  <c r="AI63" i="18"/>
  <c r="AK63" i="18" s="1"/>
  <c r="AK62" i="18"/>
  <c r="AI79" i="18"/>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K84" i="18" s="1"/>
  <c r="AI80" i="18"/>
  <c r="AK80" i="18" s="1"/>
  <c r="AI78" i="18"/>
  <c r="AK78" i="18" s="1"/>
  <c r="AI77" i="18"/>
  <c r="AK77" i="18" s="1"/>
  <c r="AI72" i="18"/>
  <c r="AK72" i="18" s="1"/>
  <c r="AI71" i="18"/>
  <c r="AK71" i="18" s="1"/>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G25" i="12"/>
  <c r="G29" i="12"/>
  <c r="D69" i="22"/>
  <c r="AG88" i="21"/>
  <c r="AG70" i="21"/>
  <c r="Z88" i="21"/>
  <c r="X88" i="21"/>
  <c r="V88" i="21"/>
  <c r="T88" i="21"/>
  <c r="H88" i="21"/>
  <c r="F88" i="21"/>
  <c r="D88" i="21"/>
  <c r="G29" i="11"/>
  <c r="Z114" i="20"/>
  <c r="V114" i="20"/>
  <c r="T114" i="20"/>
  <c r="R114" i="20"/>
  <c r="N114" i="20"/>
  <c r="N118" i="20" s="1"/>
  <c r="L114" i="20"/>
  <c r="J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E25" i="13"/>
  <c r="E40" i="7"/>
  <c r="E21" i="13"/>
  <c r="E20" i="13"/>
  <c r="E27" i="14"/>
  <c r="E21" i="10"/>
  <c r="E24" i="13"/>
  <c r="E31" i="13"/>
  <c r="E23" i="10"/>
  <c r="E25" i="8"/>
  <c r="E24" i="8"/>
  <c r="E22" i="13"/>
  <c r="E30" i="10"/>
  <c r="P26" i="11"/>
  <c r="O33" i="14"/>
  <c r="E25" i="10"/>
  <c r="E26" i="13"/>
  <c r="E33" i="10"/>
  <c r="E33" i="8"/>
  <c r="K33" i="8" s="1"/>
  <c r="E30" i="13"/>
  <c r="E33" i="14"/>
  <c r="E23" i="8"/>
  <c r="O27" i="14"/>
  <c r="P35" i="11"/>
  <c r="E34" i="10"/>
  <c r="E31" i="8"/>
  <c r="E26" i="12"/>
  <c r="E20" i="8"/>
  <c r="E26" i="11"/>
  <c r="E20" i="10"/>
  <c r="E32" i="13"/>
  <c r="E22" i="8"/>
  <c r="E22" i="10"/>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L76" i="25" s="1"/>
  <c r="AJ91" i="24"/>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3" i="14" s="1"/>
  <c r="U37" i="14" s="1"/>
  <c r="G80" i="25"/>
  <c r="AJ44" i="25"/>
  <c r="AL44" i="25" s="1"/>
  <c r="AG55" i="22"/>
  <c r="AG108" i="20"/>
  <c r="AG118" i="20" s="1"/>
  <c r="AJ98" i="20"/>
  <c r="F118" i="20"/>
  <c r="AL105" i="20"/>
  <c r="C45" i="31"/>
  <c r="AA33" i="29"/>
  <c r="AA25" i="29"/>
  <c r="N19" i="6"/>
  <c r="N34" i="2"/>
  <c r="C99" i="30"/>
  <c r="C89" i="30"/>
  <c r="K32" i="12" l="1"/>
  <c r="G32" i="7"/>
  <c r="E30" i="7"/>
  <c r="E20" i="7"/>
  <c r="O20" i="10"/>
  <c r="E31" i="7"/>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E22" i="7"/>
  <c r="K33" i="10"/>
  <c r="O33" i="10" s="1"/>
  <c r="G33" i="7"/>
  <c r="O121" i="16"/>
  <c r="O130" i="16" s="1"/>
  <c r="AF79" i="23"/>
  <c r="AF86" i="23" s="1"/>
  <c r="G21" i="13"/>
  <c r="K32" i="13"/>
  <c r="G30" i="14"/>
  <c r="G20" i="14"/>
  <c r="G35" i="11"/>
  <c r="AL60" i="25"/>
  <c r="K26" i="12"/>
  <c r="G32" i="12"/>
  <c r="G26" i="10"/>
  <c r="G26" i="12"/>
  <c r="K24" i="13"/>
  <c r="Q27" i="14"/>
  <c r="AG69" i="22"/>
  <c r="AI69" i="22" s="1"/>
  <c r="K31" i="13"/>
  <c r="AJ46" i="25"/>
  <c r="G24" i="7"/>
  <c r="AJ27" i="24"/>
  <c r="AL27" i="24" s="1"/>
  <c r="AJ22" i="24"/>
  <c r="AL22" i="24" s="1"/>
  <c r="AG51" i="22"/>
  <c r="AI51" i="22" s="1"/>
  <c r="J46" i="3"/>
  <c r="AJ60" i="25"/>
  <c r="AJ78" i="24"/>
  <c r="AL78" i="24" s="1"/>
  <c r="AJ95" i="24"/>
  <c r="AL95" i="24" s="1"/>
  <c r="AG59" i="22"/>
  <c r="AI59" i="22" s="1"/>
  <c r="AJ105" i="20"/>
  <c r="AG88" i="24"/>
  <c r="H24" i="6"/>
  <c r="AK36" i="18"/>
  <c r="G25" i="9"/>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AI130" i="18"/>
  <c r="AK130" i="18" s="1"/>
  <c r="F133" i="18"/>
  <c r="H133" i="18"/>
  <c r="J133" i="18"/>
  <c r="L133" i="18"/>
  <c r="R133" i="18"/>
  <c r="T133" i="18"/>
  <c r="X133" i="18"/>
  <c r="Z133" i="18"/>
  <c r="Z70" i="21"/>
  <c r="Z79" i="21" s="1"/>
  <c r="Z92" i="21" s="1"/>
  <c r="X70" i="21"/>
  <c r="X79" i="21" s="1"/>
  <c r="V70" i="21"/>
  <c r="T70" i="21"/>
  <c r="T79" i="21" s="1"/>
  <c r="T92" i="21" s="1"/>
  <c r="R70" i="21"/>
  <c r="R79" i="21" s="1"/>
  <c r="R92" i="21" s="1"/>
  <c r="AG82" i="21"/>
  <c r="AG92" i="21" s="1"/>
  <c r="V79" i="21" l="1"/>
  <c r="V92" i="21" s="1"/>
  <c r="G36" i="12"/>
  <c r="K36" i="12"/>
  <c r="E39" i="10"/>
  <c r="E42" i="10" s="1"/>
  <c r="E37" i="8"/>
  <c r="E37" i="13"/>
  <c r="E47" i="9"/>
  <c r="E26" i="7"/>
  <c r="E42" i="8"/>
  <c r="E46" i="8" s="1"/>
  <c r="T116" i="18"/>
  <c r="K21" i="13"/>
  <c r="G20" i="13"/>
  <c r="K27" i="14"/>
  <c r="G30" i="13"/>
  <c r="K33" i="14"/>
  <c r="G22" i="7"/>
  <c r="G27" i="14"/>
  <c r="F50" i="2"/>
  <c r="AG100" i="24"/>
  <c r="D92" i="21"/>
  <c r="G31" i="9"/>
  <c r="G25" i="7"/>
  <c r="Q33" i="14"/>
  <c r="Q37" i="14" s="1"/>
  <c r="AJ32" i="24"/>
  <c r="AL32" i="24" s="1"/>
  <c r="AI94" i="18"/>
  <c r="X92" i="21"/>
  <c r="N92" i="21"/>
  <c r="J92" i="21"/>
  <c r="AI129" i="18"/>
  <c r="AK129" i="18" s="1"/>
  <c r="G38" i="9"/>
  <c r="AI127" i="18"/>
  <c r="AK127" i="18" s="1"/>
  <c r="AI114" i="18"/>
  <c r="AK114" i="18" s="1"/>
  <c r="G36" i="9"/>
  <c r="AI113" i="18"/>
  <c r="AK113" i="18" s="1"/>
  <c r="G35" i="9"/>
  <c r="G33" i="14"/>
  <c r="AK43" i="18"/>
  <c r="H92" i="21"/>
  <c r="AJ85" i="24"/>
  <c r="AL85" i="24" s="1"/>
  <c r="AI123" i="18"/>
  <c r="AK123" i="18" s="1"/>
  <c r="F49" i="2"/>
  <c r="F92" i="21"/>
  <c r="AJ108" i="20"/>
  <c r="AL108" i="20" s="1"/>
  <c r="R119" i="18"/>
  <c r="AI100" i="18"/>
  <c r="AK100" i="18" s="1"/>
  <c r="F49" i="3" l="1"/>
  <c r="K30" i="13"/>
  <c r="G37" i="14"/>
  <c r="AI133" i="18"/>
  <c r="AK133" i="18" s="1"/>
  <c r="G31" i="7"/>
  <c r="G30" i="7"/>
  <c r="AJ64" i="24"/>
  <c r="AL64" i="24" s="1"/>
  <c r="AG62" i="22"/>
  <c r="AJ88" i="24"/>
  <c r="AL88" i="24" s="1"/>
  <c r="H33" i="6"/>
  <c r="H32" i="6"/>
  <c r="D33" i="6"/>
  <c r="D32" i="6"/>
  <c r="L32" i="6" l="1"/>
  <c r="S32" i="6" s="1"/>
  <c r="U32" i="6" s="1"/>
  <c r="O33" i="13"/>
  <c r="K33" i="13"/>
  <c r="G33" i="13"/>
  <c r="K20" i="13"/>
  <c r="G27" i="13"/>
  <c r="G21" i="7"/>
  <c r="AG74" i="22"/>
  <c r="AI74" i="22" s="1"/>
  <c r="AI62" i="22"/>
  <c r="AJ100" i="24"/>
  <c r="D34" i="6"/>
  <c r="L33" i="6"/>
  <c r="S33" i="6" s="1"/>
  <c r="U33" i="6" s="1"/>
  <c r="P34" i="6"/>
  <c r="J32" i="6"/>
  <c r="J33" i="6"/>
  <c r="H34" i="6"/>
  <c r="G34" i="10"/>
  <c r="K26" i="7" l="1"/>
  <c r="U34" i="6"/>
  <c r="K34" i="10"/>
  <c r="AL100" i="24"/>
  <c r="G37" i="13"/>
  <c r="G26" i="7"/>
  <c r="S34" i="6"/>
  <c r="L34" i="6"/>
  <c r="J34" i="6"/>
  <c r="G42" i="7" l="1"/>
  <c r="R41" i="43"/>
  <c r="J41" i="43"/>
  <c r="J43" i="43" s="1"/>
  <c r="J45" i="43" s="1"/>
  <c r="AE128" i="16" l="1"/>
  <c r="AJ74" i="21"/>
  <c r="AL74" i="21" s="1"/>
  <c r="AJ68" i="21"/>
  <c r="AL68" i="21" s="1"/>
  <c r="AJ94" i="20"/>
  <c r="AL94" i="20" s="1"/>
  <c r="R25" i="1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J95" i="20"/>
  <c r="AL95" i="20" s="1"/>
  <c r="AJ93" i="20"/>
  <c r="AL93" i="20" s="1"/>
  <c r="AJ92" i="20"/>
  <c r="AL92" i="20" s="1"/>
  <c r="AJ90" i="20"/>
  <c r="AL90" i="20" s="1"/>
  <c r="AJ89" i="20"/>
  <c r="AL89" i="20" s="1"/>
  <c r="AJ88" i="20"/>
  <c r="AL88" i="20" s="1"/>
  <c r="AJ82" i="20"/>
  <c r="AL82" i="20" s="1"/>
  <c r="AE118" i="16" l="1"/>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K59" i="30" l="1"/>
  <c r="I26" i="10"/>
  <c r="K25" i="10"/>
  <c r="AL70" i="21"/>
  <c r="AD118" i="20"/>
  <c r="AL114" i="20"/>
  <c r="AE121" i="16"/>
  <c r="AJ88" i="21"/>
  <c r="AJ114" i="20"/>
  <c r="AJ118" i="20" s="1"/>
  <c r="G39" i="11"/>
  <c r="AL79" i="21"/>
  <c r="AJ70" i="21"/>
  <c r="O26" i="10" l="1"/>
  <c r="K26" i="10"/>
  <c r="AL118" i="20"/>
  <c r="G29" i="10"/>
  <c r="R35" i="11"/>
  <c r="R39" i="11" s="1"/>
  <c r="AJ79" i="21"/>
  <c r="AL82" i="21"/>
  <c r="K29" i="10" l="1"/>
  <c r="G35" i="10"/>
  <c r="G39" i="10" s="1"/>
  <c r="AD92" i="21"/>
  <c r="AJ82" i="21"/>
  <c r="AJ92" i="21" s="1"/>
  <c r="J15" i="6"/>
  <c r="O35" i="10" l="1"/>
  <c r="O39" i="10" s="1"/>
  <c r="AL92" i="21"/>
  <c r="K35" i="10"/>
  <c r="K39" i="10"/>
  <c r="AL69" i="23" l="1"/>
  <c r="AN69" i="23" s="1"/>
  <c r="AL74" i="23"/>
  <c r="AN74" i="23" s="1"/>
  <c r="AL78" i="23"/>
  <c r="AN78" i="23" s="1"/>
  <c r="AL92" i="23"/>
  <c r="E96" i="23"/>
  <c r="AL77" i="23"/>
  <c r="AN77" i="23" s="1"/>
  <c r="AL76" i="23"/>
  <c r="AL82" i="23"/>
  <c r="AN82" i="23" s="1"/>
  <c r="AL93" i="23"/>
  <c r="AN93" i="23" s="1"/>
  <c r="AL73" i="23"/>
  <c r="AN73" i="23" s="1"/>
  <c r="AL83" i="23"/>
  <c r="AN83" i="23" s="1"/>
  <c r="AL70" i="23"/>
  <c r="AN70" i="23" s="1"/>
  <c r="AL75" i="23"/>
  <c r="AN75" i="23" s="1"/>
  <c r="AL81" i="23"/>
  <c r="AN81" i="23" s="1"/>
  <c r="AD93" i="19"/>
  <c r="AJ93" i="19" s="1"/>
  <c r="AL93" i="19" s="1"/>
  <c r="AD105" i="19"/>
  <c r="AJ105" i="19" s="1"/>
  <c r="AD96" i="19"/>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96" i="19" l="1"/>
  <c r="AL96" i="19" s="1"/>
  <c r="J32" i="2"/>
  <c r="AJ92" i="19"/>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J98" i="19"/>
  <c r="AD107" i="19"/>
  <c r="AN79" i="23" l="1"/>
  <c r="AL86" i="23"/>
  <c r="N37" i="5"/>
  <c r="AJ107" i="19"/>
  <c r="AL107" i="19" s="1"/>
  <c r="AL98" i="19"/>
  <c r="AG67" i="25"/>
  <c r="AG70" i="25" l="1"/>
  <c r="AL70" i="25" s="1"/>
  <c r="AL67" i="25"/>
  <c r="AJ67" i="25"/>
  <c r="AJ70" i="25" l="1"/>
  <c r="AG80" i="25"/>
  <c r="AL80" i="25" l="1"/>
  <c r="AJ80" i="25"/>
  <c r="V40" i="2" l="1"/>
  <c r="C101" i="30" l="1"/>
  <c r="C155" i="30" s="1"/>
  <c r="E43" i="7" l="1"/>
  <c r="E34" i="7"/>
  <c r="G102" i="42" l="1"/>
  <c r="G213" i="42"/>
  <c r="G260" i="42"/>
  <c r="G208"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N40" i="2"/>
  <c r="N37" i="2"/>
  <c r="N38" i="3" s="1"/>
  <c r="N19" i="2"/>
  <c r="N20" i="3" s="1"/>
  <c r="N18" i="2"/>
  <c r="N18" i="3"/>
  <c r="N16" i="3"/>
  <c r="N15" i="3"/>
  <c r="N19" i="3" l="1"/>
  <c r="T19" i="3" s="1"/>
  <c r="G24" i="8" s="1"/>
  <c r="N20" i="2"/>
  <c r="X40" i="2"/>
  <c r="AI40" i="2" s="1"/>
  <c r="N41" i="3"/>
  <c r="T41" i="3" s="1"/>
  <c r="T49" i="3"/>
  <c r="N51" i="3"/>
  <c r="N42" i="2"/>
  <c r="N51" i="2"/>
  <c r="N21" i="3" l="1"/>
  <c r="AD19" i="3"/>
  <c r="AF19" i="3" s="1"/>
  <c r="N43" i="3"/>
  <c r="AG40" i="2"/>
  <c r="G40" i="8"/>
  <c r="AD49" i="3"/>
  <c r="G32" i="8"/>
  <c r="AD41" i="3"/>
  <c r="AF41" i="3" s="1"/>
  <c r="N45" i="2"/>
  <c r="N55" i="2" s="1"/>
  <c r="N46" i="3" l="1"/>
  <c r="N55" i="3" s="1"/>
  <c r="Y51" i="3"/>
  <c r="AF49" i="3"/>
  <c r="J50" i="2" l="1"/>
  <c r="J49" i="2"/>
  <c r="X49" i="2" s="1"/>
  <c r="J51" i="2" l="1"/>
  <c r="V41" i="2" l="1"/>
  <c r="J30" i="2"/>
  <c r="J26"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F51" i="3"/>
  <c r="T50" i="3"/>
  <c r="AD50" i="3" s="1"/>
  <c r="AD51" i="3" s="1"/>
  <c r="AF51" i="3" s="1"/>
  <c r="T25" i="3"/>
  <c r="AD18" i="3"/>
  <c r="AF18" i="3" s="1"/>
  <c r="G23" i="8"/>
  <c r="AG37" i="2"/>
  <c r="AD20" i="3"/>
  <c r="G25" i="8"/>
  <c r="F17" i="3"/>
  <c r="T17" i="3" s="1"/>
  <c r="AD37" i="3"/>
  <c r="AF37" i="3" s="1"/>
  <c r="G30" i="8"/>
  <c r="F51" i="2"/>
  <c r="X24" i="2"/>
  <c r="AI24" i="2" s="1"/>
  <c r="AG19" i="2"/>
  <c r="X50" i="2"/>
  <c r="X51" i="2" s="1"/>
  <c r="AG49" i="2"/>
  <c r="AG38" i="2"/>
  <c r="X25" i="2"/>
  <c r="AI25" i="2" s="1"/>
  <c r="AG17" i="2"/>
  <c r="X16" i="2"/>
  <c r="AI16" i="2" s="1"/>
  <c r="AI50" i="2" l="1"/>
  <c r="AI49" i="2"/>
  <c r="AD25" i="3"/>
  <c r="AF25" i="3" s="1"/>
  <c r="G22" i="8"/>
  <c r="AD17" i="3"/>
  <c r="AF17" i="3" s="1"/>
  <c r="G41" i="8"/>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B128" i="16"/>
  <c r="AB127" i="16"/>
  <c r="AA12" i="3"/>
  <c r="AG51" i="2" l="1"/>
  <c r="AI51" i="2" s="1"/>
  <c r="C121" i="16"/>
  <c r="C130" i="16" s="1"/>
  <c r="AH127" i="16"/>
  <c r="AJ127" i="16" s="1"/>
  <c r="AH128" i="16"/>
  <c r="AJ128" i="16" s="1"/>
  <c r="F14" i="2" l="1"/>
  <c r="F15" i="3" l="1"/>
  <c r="F20" i="2"/>
  <c r="F21" i="3" l="1"/>
  <c r="T15" i="3"/>
  <c r="C133" i="16"/>
  <c r="G20" i="8" l="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D14" i="2" s="1"/>
  <c r="AA15" i="3" l="1"/>
  <c r="AF53" i="18"/>
  <c r="AF96" i="18" s="1"/>
  <c r="AF119" i="18" s="1"/>
  <c r="AF137" i="18" s="1"/>
  <c r="AI137" i="18" s="1"/>
  <c r="AK137" i="18" s="1"/>
  <c r="AD16" i="15"/>
  <c r="AD21" i="15" s="1"/>
  <c r="AH21" i="15" s="1"/>
  <c r="AE30" i="17"/>
  <c r="AE58" i="17" s="1"/>
  <c r="AE107" i="17" s="1"/>
  <c r="K108"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AB37" i="15" l="1"/>
  <c r="F26" i="2" l="1"/>
  <c r="X26" i="2" s="1"/>
  <c r="X34" i="2" s="1"/>
  <c r="G34" i="9"/>
  <c r="AI102" i="18"/>
  <c r="AK102" i="18" s="1"/>
  <c r="G43" i="9" l="1"/>
  <c r="G47" i="9" s="1"/>
  <c r="K43" i="9"/>
  <c r="W121" i="16"/>
  <c r="W130" i="16" s="1"/>
  <c r="W133" i="16" s="1"/>
  <c r="AI34" i="2"/>
  <c r="X42" i="2"/>
  <c r="X110" i="18"/>
  <c r="X116" i="18" s="1"/>
  <c r="F34" i="2"/>
  <c r="F42" i="2" s="1"/>
  <c r="F45" i="2" s="1"/>
  <c r="F27" i="3"/>
  <c r="AI119" i="18"/>
  <c r="AK119" i="18" s="1"/>
  <c r="AI26" i="2"/>
  <c r="AG26" i="2"/>
  <c r="AG34" i="2" s="1"/>
  <c r="AG42" i="2" s="1"/>
  <c r="G29" i="7"/>
  <c r="K34" i="7" s="1"/>
  <c r="K37" i="7" s="1"/>
  <c r="AI110" i="18"/>
  <c r="F55" i="2" l="1"/>
  <c r="AI42" i="2"/>
  <c r="W121" i="17"/>
  <c r="F35" i="3"/>
  <c r="T27" i="3"/>
  <c r="AK110" i="18"/>
  <c r="AI116" i="18"/>
  <c r="AK116" i="18" s="1"/>
  <c r="G34" i="7"/>
  <c r="W130" i="17" l="1"/>
  <c r="W133" i="17" s="1"/>
  <c r="W143" i="17" s="1"/>
  <c r="F43" i="3"/>
  <c r="F46" i="3" s="1"/>
  <c r="F55" i="3" s="1"/>
  <c r="V50" i="2"/>
  <c r="C138" i="16" s="1"/>
  <c r="AD27" i="3"/>
  <c r="T35" i="3"/>
  <c r="T43" i="3" s="1"/>
  <c r="G37" i="7"/>
  <c r="U140" i="16" l="1"/>
  <c r="Q140" i="16"/>
  <c r="Q144" i="16" s="1"/>
  <c r="S140" i="16"/>
  <c r="V51" i="2"/>
  <c r="G29" i="8"/>
  <c r="T46" i="3"/>
  <c r="T55" i="3" s="1"/>
  <c r="AF27" i="3"/>
  <c r="AD35" i="3"/>
  <c r="AD43" i="3" s="1"/>
  <c r="AF43" i="3" s="1"/>
  <c r="G34" i="8" l="1"/>
  <c r="K34" i="8"/>
  <c r="K46" i="8" s="1"/>
  <c r="AD46" i="3"/>
  <c r="AF46" i="3" s="1"/>
  <c r="AF35" i="3"/>
  <c r="AD55" i="3" l="1"/>
  <c r="AF55" i="3" s="1"/>
  <c r="G46" i="8"/>
  <c r="G37" i="8"/>
  <c r="K37" i="8"/>
  <c r="D26" i="18" l="1"/>
  <c r="D14" i="2" s="1"/>
  <c r="K92" i="30" l="1"/>
  <c r="E99" i="30"/>
  <c r="D53" i="18"/>
  <c r="D96" i="18" s="1"/>
  <c r="D119" i="18" s="1"/>
  <c r="D137" i="18" s="1"/>
  <c r="N21" i="5" l="1"/>
  <c r="N32" i="5" s="1"/>
  <c r="N42" i="5" s="1"/>
  <c r="E23" i="23" l="1"/>
  <c r="P15" i="2" s="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J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J86" i="17" s="1"/>
  <c r="AB95" i="17"/>
  <c r="AH95" i="17" s="1"/>
  <c r="AJ95" i="17" s="1"/>
  <c r="AB50" i="17"/>
  <c r="AH139" i="17" l="1"/>
  <c r="AJ139" i="17" s="1"/>
  <c r="AB56" i="17"/>
  <c r="AH124" i="17"/>
  <c r="AH23" i="17"/>
  <c r="AJ23" i="17" s="1"/>
  <c r="AB26" i="17"/>
  <c r="V53" i="18"/>
  <c r="V96"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AJ124" i="17"/>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I140" i="16"/>
  <c r="I144" i="16" s="1"/>
  <c r="G140" i="16"/>
  <c r="G144" i="16" s="1"/>
  <c r="W140" i="16"/>
  <c r="W144" i="16" s="1"/>
  <c r="AJ26" i="16"/>
  <c r="AJ50" i="16"/>
  <c r="AJ26" i="17"/>
  <c r="AH41" i="17"/>
  <c r="AJ41" i="17" s="1"/>
  <c r="AJ32" i="17"/>
  <c r="D21" i="3"/>
  <c r="D46" i="3" s="1"/>
  <c r="D55" i="3" s="1"/>
  <c r="U107" i="17"/>
  <c r="U133" i="17" s="1"/>
  <c r="U143" i="17" s="1"/>
  <c r="AH138" i="16" l="1"/>
  <c r="AJ138" i="16" s="1"/>
  <c r="AB140" i="16"/>
  <c r="K106" i="30"/>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F37" i="19" l="1"/>
  <c r="F84" i="19" s="1"/>
  <c r="F110" i="19" s="1"/>
  <c r="F120" i="19" s="1"/>
  <c r="Y35" i="3" l="1"/>
  <c r="K46" i="30" l="1"/>
  <c r="K94" i="30"/>
  <c r="K38"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R19" i="35"/>
  <c r="V19" i="35" s="1"/>
  <c r="H43" i="35"/>
  <c r="Q42" i="25"/>
  <c r="Q61" i="23"/>
  <c r="Q46" i="25" l="1"/>
  <c r="Q70" i="25" s="1"/>
  <c r="Q80" i="25" s="1"/>
  <c r="K39" i="3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45" i="43" l="1"/>
  <c r="Z28" i="43"/>
  <c r="Z37" i="43" s="1"/>
  <c r="T37" i="43"/>
  <c r="T43" i="43" s="1"/>
  <c r="T45" i="43" l="1"/>
  <c r="Z43" i="43" l="1"/>
  <c r="Z45" i="43" s="1"/>
  <c r="V45" i="43"/>
  <c r="Z37" i="20"/>
  <c r="Z84" i="20" s="1"/>
  <c r="Z108" i="20" s="1"/>
  <c r="Z118" i="20" s="1"/>
  <c r="R15" i="3"/>
  <c r="R21" i="3" s="1"/>
  <c r="R46" i="3" s="1"/>
  <c r="R55" i="3" s="1"/>
  <c r="AB27" i="17"/>
  <c r="X45" i="43" l="1"/>
  <c r="H21" i="3"/>
  <c r="H46" i="3" s="1"/>
  <c r="H55" i="3" s="1"/>
  <c r="H20" i="2"/>
  <c r="H45" i="2" s="1"/>
  <c r="H55" i="2" s="1"/>
  <c r="AH27" i="17"/>
  <c r="AB30" i="17"/>
  <c r="V22" i="15"/>
  <c r="V25" i="15" s="1"/>
  <c r="V56" i="15" s="1"/>
  <c r="H25" i="15"/>
  <c r="H56" i="15" s="1"/>
  <c r="Y30" i="17"/>
  <c r="Y58" i="17" s="1"/>
  <c r="Z37" i="19"/>
  <c r="Z84" i="19" s="1"/>
  <c r="Z110" i="19" s="1"/>
  <c r="Z120" i="19" s="1"/>
  <c r="AH30" i="17" l="1"/>
  <c r="AJ30" i="17" s="1"/>
  <c r="AJ27" i="17"/>
  <c r="V14" i="2"/>
  <c r="V20" i="2" s="1"/>
  <c r="V45" i="2" s="1"/>
  <c r="V55" i="2" s="1"/>
  <c r="J22" i="15"/>
  <c r="AD37" i="19"/>
  <c r="AD84" i="19" s="1"/>
  <c r="AD110" i="19" s="1"/>
  <c r="AD120" i="19" s="1"/>
  <c r="J14" i="2"/>
  <c r="AJ17" i="19"/>
  <c r="AB58" i="17"/>
  <c r="Y107" i="17"/>
  <c r="Y133" i="17" s="1"/>
  <c r="Y143" i="17" s="1"/>
  <c r="AJ37" i="19" l="1"/>
  <c r="X14" i="2"/>
  <c r="J20" i="2"/>
  <c r="J45" i="2" s="1"/>
  <c r="J55" i="2" s="1"/>
  <c r="AJ120" i="19"/>
  <c r="AL120" i="19" s="1"/>
  <c r="AB107" i="17"/>
  <c r="AB133" i="17" s="1"/>
  <c r="AH58" i="17"/>
  <c r="J25" i="15"/>
  <c r="J56" i="15" s="1"/>
  <c r="X22" i="15"/>
  <c r="AH22" i="15" l="1"/>
  <c r="AJ22" i="15" s="1"/>
  <c r="X25" i="15"/>
  <c r="AH133" i="17"/>
  <c r="AJ133" i="17" s="1"/>
  <c r="AB143" i="17"/>
  <c r="X20" i="2"/>
  <c r="AG14" i="2"/>
  <c r="AG20" i="2" s="1"/>
  <c r="AI14" i="2"/>
  <c r="AJ58" i="17"/>
  <c r="AH107" i="17"/>
  <c r="AJ107" i="17" s="1"/>
  <c r="AJ84" i="19"/>
  <c r="AL37" i="19"/>
  <c r="AH25" i="15" l="1"/>
  <c r="AJ25" i="15" s="1"/>
  <c r="X56" i="15"/>
  <c r="AH56" i="15" s="1"/>
  <c r="AJ56" i="15" s="1"/>
  <c r="AJ110" i="19"/>
  <c r="AL110" i="19" s="1"/>
  <c r="AL84" i="19"/>
  <c r="X45" i="2"/>
  <c r="AI20" i="2"/>
  <c r="AH143" i="17"/>
  <c r="AJ143" i="17" s="1"/>
  <c r="AG45" i="2" l="1"/>
  <c r="AG55" i="2" s="1"/>
  <c r="AI45" i="2"/>
  <c r="X55" i="2"/>
  <c r="AI55" i="2" l="1"/>
  <c r="AD46" i="27" l="1"/>
  <c r="AG120" i="20" l="1"/>
  <c r="AG13" i="19"/>
  <c r="AG122" i="19" s="1"/>
  <c r="Z12" i="37"/>
  <c r="Z47" i="37" s="1"/>
  <c r="B47" i="37"/>
  <c r="AG102" i="24"/>
  <c r="AB45" i="15"/>
  <c r="AG94" i="21"/>
  <c r="D47" i="37" l="1"/>
  <c r="I213" i="42"/>
  <c r="I102" i="42"/>
  <c r="I203" i="42"/>
  <c r="K208" i="42"/>
  <c r="K11" i="42"/>
  <c r="M14" i="42"/>
  <c r="K102" i="42"/>
  <c r="K213" i="42"/>
  <c r="K189" i="42"/>
  <c r="F57" i="2"/>
  <c r="AC12" i="18"/>
  <c r="G49" i="9" s="1"/>
  <c r="D139" i="18"/>
  <c r="K203" i="42"/>
  <c r="I260" i="42"/>
  <c r="I189" i="42"/>
  <c r="K260" i="42"/>
  <c r="I208" i="42"/>
  <c r="I11" i="42"/>
  <c r="E50" i="7" l="1"/>
  <c r="G50" i="9"/>
  <c r="K50" i="9"/>
  <c r="F47" i="37"/>
  <c r="M203" i="42"/>
  <c r="AC139" i="18"/>
  <c r="AI139" i="18" s="1"/>
  <c r="AK139" i="18" s="1"/>
  <c r="AI12" i="18"/>
  <c r="AK12" i="18" s="1"/>
  <c r="AD13" i="20"/>
  <c r="AJ13" i="20" s="1"/>
  <c r="D120" i="20"/>
  <c r="J57" i="3"/>
  <c r="J59" i="3" s="1"/>
  <c r="G41" i="11"/>
  <c r="D13" i="19"/>
  <c r="H57" i="2" s="1"/>
  <c r="D94" i="21"/>
  <c r="AD13" i="21"/>
  <c r="AJ13" i="21" s="1"/>
  <c r="AL13" i="21" s="1"/>
  <c r="R41" i="11"/>
  <c r="K263" i="42"/>
  <c r="I263" i="42"/>
  <c r="E50" i="9"/>
  <c r="F57" i="3"/>
  <c r="F59" i="2"/>
  <c r="C49" i="7"/>
  <c r="C48" i="8"/>
  <c r="E49" i="8" l="1"/>
  <c r="K42" i="11"/>
  <c r="H47" i="37"/>
  <c r="F94" i="21"/>
  <c r="F139" i="18"/>
  <c r="AD94" i="21"/>
  <c r="G42" i="11"/>
  <c r="J57" i="2"/>
  <c r="J59" i="2" s="1"/>
  <c r="AD120" i="20"/>
  <c r="G41" i="10"/>
  <c r="K41" i="10" s="1"/>
  <c r="R42" i="11"/>
  <c r="AD13" i="19"/>
  <c r="D122" i="19"/>
  <c r="AJ94" i="21"/>
  <c r="AL94" i="21" s="1"/>
  <c r="F59" i="3"/>
  <c r="AL13" i="20"/>
  <c r="AJ120" i="20"/>
  <c r="AL120" i="20" s="1"/>
  <c r="J47" i="37" l="1"/>
  <c r="H94" i="21"/>
  <c r="F120" i="20"/>
  <c r="G42" i="10"/>
  <c r="AL13" i="19"/>
  <c r="AJ13" i="19"/>
  <c r="AD122" i="19"/>
  <c r="AJ122" i="19" s="1"/>
  <c r="AL122" i="19" s="1"/>
  <c r="O42" i="10"/>
  <c r="K42" i="10"/>
  <c r="L47" i="37" l="1"/>
  <c r="J94" i="21"/>
  <c r="H139" i="18"/>
  <c r="F122" i="19"/>
  <c r="L94" i="21" l="1"/>
  <c r="H120" i="20"/>
  <c r="K34" i="31"/>
  <c r="N47" i="37" l="1"/>
  <c r="P47" i="37" s="1"/>
  <c r="N94" i="21"/>
  <c r="J139" i="18"/>
  <c r="H122" i="19"/>
  <c r="K40" i="30"/>
  <c r="R47" i="37" l="1"/>
  <c r="P94" i="21"/>
  <c r="J120" i="20"/>
  <c r="T47" i="37" l="1"/>
  <c r="R94" i="21"/>
  <c r="L139" i="18"/>
  <c r="J122" i="19"/>
  <c r="G42" i="31"/>
  <c r="G45" i="31" s="1"/>
  <c r="V47" i="37" l="1"/>
  <c r="T94" i="21"/>
  <c r="L120" i="20"/>
  <c r="K95" i="30"/>
  <c r="X47" i="37" l="1"/>
  <c r="V94" i="21"/>
  <c r="N139" i="18"/>
  <c r="L122" i="19"/>
  <c r="K150" i="30"/>
  <c r="X94" i="21" l="1"/>
  <c r="N120" i="20"/>
  <c r="K60" i="30"/>
  <c r="Z94" i="21" l="1"/>
  <c r="P139" i="18"/>
  <c r="N122" i="19"/>
  <c r="K40" i="31"/>
  <c r="R139" i="18" l="1"/>
  <c r="P120" i="20"/>
  <c r="P122" i="19" l="1"/>
  <c r="R30" i="35"/>
  <c r="V30" i="35" s="1"/>
  <c r="T139" i="18" l="1"/>
  <c r="R120" i="20"/>
  <c r="I30" i="45"/>
  <c r="G30" i="45"/>
  <c r="R122" i="19" l="1"/>
  <c r="Y43" i="3"/>
  <c r="Y21" i="3"/>
  <c r="V139" i="18" l="1"/>
  <c r="T120" i="20"/>
  <c r="N57" i="2"/>
  <c r="N59" i="2" s="1"/>
  <c r="B77" i="22"/>
  <c r="D77" i="22" s="1"/>
  <c r="F77" i="22" s="1"/>
  <c r="H77" i="22" s="1"/>
  <c r="C16" i="17"/>
  <c r="AB16" i="17" s="1"/>
  <c r="AA12" i="22"/>
  <c r="AA77" i="22" s="1"/>
  <c r="Y46" i="3"/>
  <c r="Y55" i="3" s="1"/>
  <c r="T122" i="19" l="1"/>
  <c r="G38" i="12"/>
  <c r="K39" i="12" s="1"/>
  <c r="C145" i="17"/>
  <c r="E145" i="17" s="1"/>
  <c r="G145" i="17" s="1"/>
  <c r="I145" i="17" s="1"/>
  <c r="K145" i="17" s="1"/>
  <c r="N57" i="3"/>
  <c r="T57" i="3" s="1"/>
  <c r="AB145" i="17"/>
  <c r="X139" i="18" l="1"/>
  <c r="V120" i="20"/>
  <c r="Y59" i="3"/>
  <c r="M145" i="17"/>
  <c r="G39" i="12"/>
  <c r="N59" i="3"/>
  <c r="J77" i="22"/>
  <c r="T59" i="3"/>
  <c r="G48" i="8"/>
  <c r="V122" i="19" l="1"/>
  <c r="O145" i="17"/>
  <c r="G49" i="8"/>
  <c r="K49" i="8"/>
  <c r="Z139" i="18" l="1"/>
  <c r="X120" i="20"/>
  <c r="Q145" i="17"/>
  <c r="L77" i="22"/>
  <c r="Z120" i="20" l="1"/>
  <c r="H59" i="3"/>
  <c r="D57" i="3"/>
  <c r="D59" i="3" s="1"/>
  <c r="D59" i="2"/>
  <c r="X122" i="19"/>
  <c r="S145" i="17"/>
  <c r="G99" i="30"/>
  <c r="K96" i="30"/>
  <c r="Z122" i="19" l="1"/>
  <c r="H59" i="2"/>
  <c r="U145" i="17"/>
  <c r="N77" i="22"/>
  <c r="W145" i="17" l="1"/>
  <c r="Y145" i="17" l="1"/>
  <c r="P77" i="22"/>
  <c r="AB25" i="15"/>
  <c r="E41" i="44" l="1"/>
  <c r="E57" i="44" s="1"/>
  <c r="E61" i="44" s="1"/>
  <c r="R77" i="22" l="1"/>
  <c r="K116" i="30"/>
  <c r="C57" i="44"/>
  <c r="C61" i="44" l="1"/>
  <c r="I33" i="44"/>
  <c r="I57" i="44" s="1"/>
  <c r="T77" i="22" l="1"/>
  <c r="K45" i="30"/>
  <c r="G57" i="44"/>
  <c r="R15" i="35" l="1"/>
  <c r="V15" i="35" s="1"/>
  <c r="V77" i="22" l="1"/>
  <c r="L29" i="32" l="1"/>
  <c r="X77" i="22" l="1"/>
  <c r="R24" i="35"/>
  <c r="L59" i="2" l="1"/>
  <c r="L57" i="3"/>
  <c r="R41" i="35"/>
  <c r="R22" i="35"/>
  <c r="R21" i="35"/>
  <c r="R36" i="35"/>
  <c r="V36" i="35" s="1"/>
  <c r="K148" i="30"/>
  <c r="R57" i="3" l="1"/>
  <c r="R59" i="3" s="1"/>
  <c r="L59" i="3"/>
  <c r="E22" i="45"/>
  <c r="E24" i="45" l="1"/>
  <c r="C26" i="45"/>
  <c r="C30" i="45" s="1"/>
  <c r="E23" i="45"/>
  <c r="D26" i="45"/>
  <c r="D30" i="45" s="1"/>
  <c r="E26" i="45" l="1"/>
  <c r="E30" i="45" s="1"/>
  <c r="I65" i="34" l="1"/>
  <c r="Q65" i="34"/>
  <c r="R20" i="35"/>
  <c r="V20" i="35" s="1"/>
  <c r="L43" i="35"/>
  <c r="K107" i="30"/>
  <c r="S65" i="34"/>
  <c r="K109" i="30"/>
  <c r="I111" i="30"/>
  <c r="I59" i="44" l="1"/>
  <c r="I61" i="44" s="1"/>
  <c r="G61" i="44"/>
  <c r="E153" i="30" l="1"/>
  <c r="T43" i="35"/>
  <c r="I153" i="30"/>
  <c r="E24" i="30"/>
  <c r="J45" i="32"/>
  <c r="R18" i="35"/>
  <c r="V18" i="35" s="1"/>
  <c r="E89" i="30"/>
  <c r="E101" i="30" s="1"/>
  <c r="H45" i="32"/>
  <c r="H48" i="32" s="1"/>
  <c r="K65" i="34"/>
  <c r="I42" i="31"/>
  <c r="G89" i="30"/>
  <c r="G101" i="30" s="1"/>
  <c r="I99" i="30"/>
  <c r="G24" i="30"/>
  <c r="F43" i="35"/>
  <c r="I24" i="30"/>
  <c r="F45" i="32"/>
  <c r="F48" i="32" s="1"/>
  <c r="G153" i="30"/>
  <c r="E42" i="31"/>
  <c r="E45" i="31" s="1"/>
  <c r="N43" i="35"/>
  <c r="R25" i="35"/>
  <c r="V25" i="35" s="1"/>
  <c r="M156" i="42"/>
  <c r="M140" i="42"/>
  <c r="AB16" i="26"/>
  <c r="D44" i="5" s="1"/>
  <c r="D45" i="5" s="1"/>
  <c r="C51" i="26"/>
  <c r="E51" i="26" s="1"/>
  <c r="G51" i="26" s="1"/>
  <c r="I51" i="26" s="1"/>
  <c r="K51" i="26" s="1"/>
  <c r="M51" i="26" s="1"/>
  <c r="O51" i="26" s="1"/>
  <c r="Q51" i="26" s="1"/>
  <c r="S51" i="26" s="1"/>
  <c r="U51" i="26" s="1"/>
  <c r="W51" i="26" s="1"/>
  <c r="B45" i="5" s="1"/>
  <c r="M149" i="42"/>
  <c r="K29" i="30"/>
  <c r="C25" i="8"/>
  <c r="M154" i="42"/>
  <c r="K119" i="30"/>
  <c r="E82" i="25"/>
  <c r="G82" i="25" s="1"/>
  <c r="I82" i="25" s="1"/>
  <c r="K82" i="25" s="1"/>
  <c r="M82" i="25" s="1"/>
  <c r="O82" i="25" s="1"/>
  <c r="Q82" i="25" s="1"/>
  <c r="S82" i="25" s="1"/>
  <c r="U82" i="25" s="1"/>
  <c r="W82" i="25" s="1"/>
  <c r="Y82" i="25" s="1"/>
  <c r="AA82" i="25" s="1"/>
  <c r="Q39" i="14"/>
  <c r="AD14" i="25"/>
  <c r="AD82" i="25" s="1"/>
  <c r="K20" i="31"/>
  <c r="M183" i="42"/>
  <c r="C34" i="10"/>
  <c r="K53" i="30"/>
  <c r="R26" i="35"/>
  <c r="V26" i="35" s="1"/>
  <c r="J43" i="35"/>
  <c r="L44" i="32"/>
  <c r="K23" i="30"/>
  <c r="K69" i="30"/>
  <c r="C30" i="10"/>
  <c r="K21" i="31"/>
  <c r="V41" i="35"/>
  <c r="K147" i="30"/>
  <c r="M121" i="42"/>
  <c r="M186" i="42"/>
  <c r="R40" i="35"/>
  <c r="V40" i="35" s="1"/>
  <c r="M257" i="42"/>
  <c r="M226" i="42"/>
  <c r="S25" i="14"/>
  <c r="K84" i="30"/>
  <c r="K65" i="30"/>
  <c r="M256" i="42"/>
  <c r="M169" i="42"/>
  <c r="M236" i="42"/>
  <c r="M130" i="42"/>
  <c r="M94" i="42"/>
  <c r="M171" i="42"/>
  <c r="O260" i="42"/>
  <c r="M216" i="42"/>
  <c r="M118" i="42"/>
  <c r="K17" i="30"/>
  <c r="S21" i="14"/>
  <c r="K131" i="30"/>
  <c r="M162" i="42"/>
  <c r="M252" i="42"/>
  <c r="M159" i="42"/>
  <c r="R39" i="35"/>
  <c r="V39" i="35" s="1"/>
  <c r="D43" i="35"/>
  <c r="K126" i="30"/>
  <c r="K82" i="30"/>
  <c r="C23" i="13"/>
  <c r="K18" i="30"/>
  <c r="M187" i="42"/>
  <c r="K19" i="31"/>
  <c r="M148" i="42"/>
  <c r="M117" i="42"/>
  <c r="K127" i="30"/>
  <c r="I24" i="14"/>
  <c r="C24" i="13"/>
  <c r="L30" i="32"/>
  <c r="M41" i="34"/>
  <c r="M110" i="42"/>
  <c r="P43" i="35"/>
  <c r="K128" i="30"/>
  <c r="C31" i="10"/>
  <c r="L42" i="32"/>
  <c r="M167" i="42"/>
  <c r="K85" i="30"/>
  <c r="M137" i="42"/>
  <c r="K43" i="30"/>
  <c r="K144" i="30"/>
  <c r="L34" i="32"/>
  <c r="M259" i="42"/>
  <c r="M129" i="42"/>
  <c r="M113" i="42"/>
  <c r="L15" i="32"/>
  <c r="L17" i="32" s="1"/>
  <c r="J17" i="32"/>
  <c r="M132" i="42"/>
  <c r="K36" i="30"/>
  <c r="M124" i="42"/>
  <c r="M144" i="42"/>
  <c r="K54" i="30"/>
  <c r="C21" i="13"/>
  <c r="K22" i="30"/>
  <c r="K32" i="30"/>
  <c r="K47" i="30"/>
  <c r="L43" i="32"/>
  <c r="M207" i="42"/>
  <c r="M146" i="42"/>
  <c r="R37" i="35"/>
  <c r="V37" i="35" s="1"/>
  <c r="K137" i="30"/>
  <c r="M179" i="42"/>
  <c r="L37" i="32"/>
  <c r="L36" i="32"/>
  <c r="K52" i="30"/>
  <c r="L39" i="32"/>
  <c r="M160" i="42"/>
  <c r="K118" i="30"/>
  <c r="M185" i="42"/>
  <c r="L38" i="32"/>
  <c r="M138" i="42"/>
  <c r="K152" i="30"/>
  <c r="C22" i="8"/>
  <c r="C22" i="10"/>
  <c r="M131" i="42"/>
  <c r="M84" i="42"/>
  <c r="M163" i="42"/>
  <c r="K121" i="30"/>
  <c r="M135" i="42"/>
  <c r="M245" i="42"/>
  <c r="M235" i="42"/>
  <c r="M20" i="34"/>
  <c r="L32" i="32"/>
  <c r="K55" i="30"/>
  <c r="M115" i="42"/>
  <c r="M83" i="42"/>
  <c r="R32" i="35"/>
  <c r="V32" i="35" s="1"/>
  <c r="C32" i="13"/>
  <c r="O11" i="42"/>
  <c r="M10" i="42"/>
  <c r="M11" i="42" s="1"/>
  <c r="E111" i="30"/>
  <c r="K104" i="30"/>
  <c r="M75" i="42"/>
  <c r="M139" i="42"/>
  <c r="K41" i="30"/>
  <c r="M158" i="42"/>
  <c r="M188" i="42"/>
  <c r="M76" i="42"/>
  <c r="K88" i="30"/>
  <c r="S23" i="14"/>
  <c r="M249" i="42"/>
  <c r="M125" i="42"/>
  <c r="K33" i="30"/>
  <c r="M221" i="42"/>
  <c r="M242" i="42"/>
  <c r="M101" i="42"/>
  <c r="T33" i="11"/>
  <c r="K31" i="30"/>
  <c r="K21" i="30"/>
  <c r="K151" i="30"/>
  <c r="V22" i="35"/>
  <c r="C24" i="8"/>
  <c r="C23" i="8"/>
  <c r="S20" i="14"/>
  <c r="M27" i="14"/>
  <c r="K71" i="30"/>
  <c r="M168" i="42"/>
  <c r="M174" i="42"/>
  <c r="M227" i="42"/>
  <c r="B38" i="28"/>
  <c r="D38" i="28" s="1"/>
  <c r="F38" i="28" s="1"/>
  <c r="H38" i="28" s="1"/>
  <c r="J38" i="28" s="1"/>
  <c r="L38" i="28" s="1"/>
  <c r="N38" i="28" s="1"/>
  <c r="P38" i="28" s="1"/>
  <c r="R38" i="28" s="1"/>
  <c r="T38" i="28" s="1"/>
  <c r="V38" i="28" s="1"/>
  <c r="X38" i="28" s="1"/>
  <c r="AA13" i="28"/>
  <c r="D41" i="6" s="1"/>
  <c r="C24" i="10"/>
  <c r="I24" i="11"/>
  <c r="C25" i="10"/>
  <c r="M152" i="42"/>
  <c r="R35" i="35"/>
  <c r="V35" i="35" s="1"/>
  <c r="K80" i="30"/>
  <c r="K133" i="30"/>
  <c r="M218" i="42"/>
  <c r="M15" i="42"/>
  <c r="R38" i="35"/>
  <c r="V38" i="35" s="1"/>
  <c r="M155" i="42"/>
  <c r="M63" i="34"/>
  <c r="M164" i="42"/>
  <c r="K63" i="30"/>
  <c r="L31" i="32"/>
  <c r="K26" i="13"/>
  <c r="K27" i="13" s="1"/>
  <c r="K37" i="13" s="1"/>
  <c r="C26" i="13"/>
  <c r="M123" i="42"/>
  <c r="C35" i="11"/>
  <c r="C29" i="10"/>
  <c r="M141" i="42"/>
  <c r="M246" i="42"/>
  <c r="K36" i="31"/>
  <c r="AB54" i="15"/>
  <c r="AB56" i="15" s="1"/>
  <c r="K30" i="30"/>
  <c r="C32" i="7"/>
  <c r="C32" i="8"/>
  <c r="K37" i="31"/>
  <c r="L35" i="32"/>
  <c r="M77" i="42"/>
  <c r="K105" i="30"/>
  <c r="M182" i="42"/>
  <c r="C29" i="8"/>
  <c r="B46" i="27"/>
  <c r="D46" i="27" s="1"/>
  <c r="F46" i="27" s="1"/>
  <c r="H46" i="27" s="1"/>
  <c r="J46" i="27" s="1"/>
  <c r="L46" i="27" s="1"/>
  <c r="N46" i="27" s="1"/>
  <c r="P46" i="27" s="1"/>
  <c r="R46" i="27" s="1"/>
  <c r="T46" i="27" s="1"/>
  <c r="V46" i="27" s="1"/>
  <c r="F45" i="5" s="1"/>
  <c r="AA14" i="27"/>
  <c r="H44" i="5" s="1"/>
  <c r="H45" i="5" s="1"/>
  <c r="K20" i="30"/>
  <c r="K142" i="30"/>
  <c r="K135" i="30"/>
  <c r="K79" i="30"/>
  <c r="M150" i="42"/>
  <c r="C30" i="13"/>
  <c r="C33" i="14"/>
  <c r="K23" i="31"/>
  <c r="C20" i="13"/>
  <c r="C27" i="14"/>
  <c r="C25" i="13"/>
  <c r="M25" i="13" s="1"/>
  <c r="I25" i="14"/>
  <c r="C40" i="7"/>
  <c r="I40" i="7" s="1"/>
  <c r="I24" i="12"/>
  <c r="K58" i="30"/>
  <c r="M109" i="42"/>
  <c r="M212" i="42"/>
  <c r="V21" i="35"/>
  <c r="K132" i="30"/>
  <c r="M181" i="42"/>
  <c r="K77" i="30"/>
  <c r="M206" i="42"/>
  <c r="O208" i="42"/>
  <c r="S22" i="14"/>
  <c r="M134" i="42"/>
  <c r="C31" i="13"/>
  <c r="K37" i="30"/>
  <c r="K145" i="30"/>
  <c r="M78" i="42"/>
  <c r="M86" i="42"/>
  <c r="M231" i="42"/>
  <c r="M161" i="42"/>
  <c r="C22" i="13"/>
  <c r="I22" i="14"/>
  <c r="K66" i="30"/>
  <c r="R28" i="35"/>
  <c r="V28" i="35" s="1"/>
  <c r="K35" i="30"/>
  <c r="M225" i="42"/>
  <c r="N35" i="11"/>
  <c r="I33" i="11"/>
  <c r="C33" i="8"/>
  <c r="I33" i="8" s="1"/>
  <c r="C33" i="10"/>
  <c r="M33" i="10" s="1"/>
  <c r="M219" i="42"/>
  <c r="K68" i="30"/>
  <c r="M143" i="42"/>
  <c r="M108" i="42"/>
  <c r="M114" i="42"/>
  <c r="K143" i="30"/>
  <c r="S26" i="14"/>
  <c r="M119" i="42"/>
  <c r="M238" i="42"/>
  <c r="K73" i="30"/>
  <c r="K81" i="30"/>
  <c r="L40" i="32"/>
  <c r="AD77" i="22"/>
  <c r="AG12" i="22"/>
  <c r="AI12" i="22" s="1"/>
  <c r="AA57" i="3"/>
  <c r="AE16" i="17"/>
  <c r="M173" i="42"/>
  <c r="K97" i="30"/>
  <c r="AI15" i="23"/>
  <c r="AI103" i="23" s="1"/>
  <c r="AG82" i="25"/>
  <c r="M258" i="42"/>
  <c r="M70" i="42"/>
  <c r="M116" i="42"/>
  <c r="P41" i="6"/>
  <c r="P42" i="6" s="1"/>
  <c r="AD38" i="29"/>
  <c r="M178" i="42"/>
  <c r="K72" i="30"/>
  <c r="AE51" i="26"/>
  <c r="P44" i="5"/>
  <c r="P45" i="5" s="1"/>
  <c r="M122" i="42"/>
  <c r="M175" i="42"/>
  <c r="M239" i="42"/>
  <c r="M151" i="42"/>
  <c r="M85" i="42"/>
  <c r="C23" i="10"/>
  <c r="S32" i="14"/>
  <c r="K129" i="30"/>
  <c r="K16" i="30"/>
  <c r="M172" i="42"/>
  <c r="K51" i="30"/>
  <c r="K149" i="30"/>
  <c r="C21" i="8"/>
  <c r="M107" i="42"/>
  <c r="C26" i="12"/>
  <c r="R17" i="35"/>
  <c r="V17" i="35" s="1"/>
  <c r="T20" i="11"/>
  <c r="N26" i="11"/>
  <c r="K56" i="30"/>
  <c r="M95" i="42"/>
  <c r="R34" i="35"/>
  <c r="V34" i="35" s="1"/>
  <c r="M147" i="42"/>
  <c r="M91" i="42"/>
  <c r="K49" i="30"/>
  <c r="M241" i="42"/>
  <c r="M180" i="42"/>
  <c r="K42" i="30"/>
  <c r="K86" i="30"/>
  <c r="M223" i="42"/>
  <c r="E102" i="24"/>
  <c r="G102" i="24" s="1"/>
  <c r="I102" i="24" s="1"/>
  <c r="K102" i="24" s="1"/>
  <c r="M102" i="24" s="1"/>
  <c r="O102" i="24" s="1"/>
  <c r="Q102" i="24" s="1"/>
  <c r="S102" i="24" s="1"/>
  <c r="U102" i="24" s="1"/>
  <c r="W102" i="24" s="1"/>
  <c r="Y102" i="24" s="1"/>
  <c r="AA102" i="24" s="1"/>
  <c r="G39" i="14"/>
  <c r="G40" i="14" s="1"/>
  <c r="E15" i="23"/>
  <c r="AD14" i="24"/>
  <c r="AD102" i="24" s="1"/>
  <c r="M133" i="42"/>
  <c r="M253" i="42"/>
  <c r="M79" i="42"/>
  <c r="B38" i="29"/>
  <c r="D38" i="29" s="1"/>
  <c r="F38" i="29" s="1"/>
  <c r="H38" i="29" s="1"/>
  <c r="J38" i="29" s="1"/>
  <c r="L38" i="29" s="1"/>
  <c r="N38" i="29" s="1"/>
  <c r="P38" i="29" s="1"/>
  <c r="R38" i="29" s="1"/>
  <c r="T38" i="29" s="1"/>
  <c r="V38" i="29" s="1"/>
  <c r="X38" i="29" s="1"/>
  <c r="AA13" i="29"/>
  <c r="AG13" i="29" s="1"/>
  <c r="AI13" i="29" s="1"/>
  <c r="M136" i="42"/>
  <c r="C20" i="10"/>
  <c r="M20" i="10" s="1"/>
  <c r="C26" i="11"/>
  <c r="I20" i="11"/>
  <c r="K44" i="30"/>
  <c r="K57" i="30"/>
  <c r="M80" i="42"/>
  <c r="M120" i="42"/>
  <c r="V24" i="35"/>
  <c r="C32" i="12"/>
  <c r="K19" i="30"/>
  <c r="K22" i="31"/>
  <c r="M254" i="42"/>
  <c r="N34" i="6"/>
  <c r="N39" i="6" s="1"/>
  <c r="M111" i="42"/>
  <c r="M96" i="42"/>
  <c r="M222" i="42"/>
  <c r="K78" i="30"/>
  <c r="K120" i="30"/>
  <c r="M166" i="42"/>
  <c r="M99" i="42"/>
  <c r="M45" i="34"/>
  <c r="M165" i="42"/>
  <c r="K25" i="31"/>
  <c r="M97" i="42"/>
  <c r="T25" i="11"/>
  <c r="M243" i="42"/>
  <c r="K38" i="30"/>
  <c r="C20" i="8"/>
  <c r="K123" i="30"/>
  <c r="K24" i="31"/>
  <c r="M157" i="42"/>
  <c r="M62" i="42"/>
  <c r="T21" i="11"/>
  <c r="K124" i="30"/>
  <c r="L41" i="32"/>
  <c r="M93" i="42"/>
  <c r="M248" i="42"/>
  <c r="M126" i="42"/>
  <c r="L33" i="32"/>
  <c r="M237" i="42"/>
  <c r="M244" i="42"/>
  <c r="T22" i="11"/>
  <c r="C31" i="8"/>
  <c r="G111" i="30"/>
  <c r="K70" i="30"/>
  <c r="M89" i="42"/>
  <c r="O102" i="42" s="1"/>
  <c r="R31" i="35"/>
  <c r="V31" i="35" s="1"/>
  <c r="K41" i="31"/>
  <c r="O213" i="42"/>
  <c r="M211" i="42"/>
  <c r="L23" i="32"/>
  <c r="K138" i="30"/>
  <c r="M142" i="42"/>
  <c r="I89" i="30"/>
  <c r="K28" i="30"/>
  <c r="K141" i="30"/>
  <c r="K117" i="30"/>
  <c r="K83" i="30"/>
  <c r="C21" i="10"/>
  <c r="M251" i="42"/>
  <c r="C30" i="8"/>
  <c r="K125" i="30"/>
  <c r="M33" i="14"/>
  <c r="M255" i="42"/>
  <c r="L22" i="32"/>
  <c r="M250" i="42"/>
  <c r="K75" i="30"/>
  <c r="M105" i="42"/>
  <c r="O189" i="42"/>
  <c r="K76" i="30"/>
  <c r="K35" i="31"/>
  <c r="M232" i="42"/>
  <c r="M247" i="42"/>
  <c r="AB51" i="2"/>
  <c r="AB55" i="2" s="1"/>
  <c r="K98" i="30"/>
  <c r="K48" i="30"/>
  <c r="M82" i="42"/>
  <c r="M170" i="42"/>
  <c r="K140" i="30"/>
  <c r="K122" i="30"/>
  <c r="K26" i="31"/>
  <c r="M153" i="42"/>
  <c r="L25" i="32" l="1"/>
  <c r="K99" i="30"/>
  <c r="AA38" i="28"/>
  <c r="AG38" i="28" s="1"/>
  <c r="AI38" i="28" s="1"/>
  <c r="K111" i="30"/>
  <c r="G155" i="30"/>
  <c r="M213" i="42"/>
  <c r="M208" i="42"/>
  <c r="S33" i="14"/>
  <c r="AG77" i="22"/>
  <c r="AI77" i="22" s="1"/>
  <c r="K28" i="31"/>
  <c r="AJ14" i="24"/>
  <c r="AJ102" i="24" s="1"/>
  <c r="AL102" i="24" s="1"/>
  <c r="AA59" i="3"/>
  <c r="AA46" i="27"/>
  <c r="AG46" i="27" s="1"/>
  <c r="AI46" i="27" s="1"/>
  <c r="I35" i="11"/>
  <c r="C23" i="7"/>
  <c r="C33" i="13"/>
  <c r="I32" i="12"/>
  <c r="AG13" i="28"/>
  <c r="AI13" i="28" s="1"/>
  <c r="AF15" i="23"/>
  <c r="AF103" i="23" s="1"/>
  <c r="AN103" i="23" s="1"/>
  <c r="P57" i="2"/>
  <c r="M65" i="34"/>
  <c r="K24" i="30"/>
  <c r="I101" i="30"/>
  <c r="I155" i="30" s="1"/>
  <c r="K42" i="31"/>
  <c r="AG14" i="27"/>
  <c r="AI14" i="27" s="1"/>
  <c r="I26" i="12"/>
  <c r="C37" i="14"/>
  <c r="C40" i="14" s="1"/>
  <c r="I45" i="31"/>
  <c r="N39" i="11"/>
  <c r="N42" i="11" s="1"/>
  <c r="C22" i="7"/>
  <c r="C39" i="11"/>
  <c r="C42" i="11" s="1"/>
  <c r="AB51" i="26"/>
  <c r="AH51" i="26" s="1"/>
  <c r="AJ51" i="26" s="1"/>
  <c r="K40" i="14"/>
  <c r="J48" i="32"/>
  <c r="B42" i="6"/>
  <c r="AJ14" i="25"/>
  <c r="AL14" i="25" s="1"/>
  <c r="G39" i="13"/>
  <c r="G49" i="7" s="1"/>
  <c r="E103" i="23"/>
  <c r="G103" i="23" s="1"/>
  <c r="I103" i="23" s="1"/>
  <c r="K103" i="23" s="1"/>
  <c r="M103" i="23" s="1"/>
  <c r="O103" i="23" s="1"/>
  <c r="Q103" i="23" s="1"/>
  <c r="S103" i="23" s="1"/>
  <c r="U103" i="23" s="1"/>
  <c r="W103" i="23" s="1"/>
  <c r="Y103" i="23" s="1"/>
  <c r="AA103" i="23" s="1"/>
  <c r="M33" i="13"/>
  <c r="I33" i="14"/>
  <c r="V43" i="35"/>
  <c r="I27" i="14"/>
  <c r="T35" i="11"/>
  <c r="O263" i="42"/>
  <c r="E155" i="30"/>
  <c r="Y51" i="26"/>
  <c r="G41" i="7"/>
  <c r="K43" i="7" s="1"/>
  <c r="T26" i="11"/>
  <c r="I26" i="11"/>
  <c r="M37" i="14"/>
  <c r="M40" i="14" s="1"/>
  <c r="C36" i="12"/>
  <c r="C39" i="12" s="1"/>
  <c r="AL82" i="25"/>
  <c r="R43" i="35"/>
  <c r="L45" i="32"/>
  <c r="K153" i="30"/>
  <c r="H41" i="6"/>
  <c r="H42" i="6" s="1"/>
  <c r="AA38" i="29"/>
  <c r="AG38" i="29" s="1"/>
  <c r="AI38" i="29" s="1"/>
  <c r="J44" i="5"/>
  <c r="J45" i="5" s="1"/>
  <c r="X46" i="27"/>
  <c r="AH16" i="26"/>
  <c r="AJ16" i="26" s="1"/>
  <c r="S27" i="14"/>
  <c r="O27" i="13"/>
  <c r="O37" i="13" s="1"/>
  <c r="AD57" i="2"/>
  <c r="AD59" i="2" s="1"/>
  <c r="R57" i="2"/>
  <c r="X57" i="2" s="1"/>
  <c r="X59" i="2" s="1"/>
  <c r="AE16" i="16"/>
  <c r="AE146" i="16" s="1"/>
  <c r="C16" i="16"/>
  <c r="AB16" i="16" s="1"/>
  <c r="AB146" i="16" s="1"/>
  <c r="I26" i="8"/>
  <c r="K89" i="30"/>
  <c r="M260" i="42"/>
  <c r="M35" i="10"/>
  <c r="I34" i="8"/>
  <c r="C27" i="13"/>
  <c r="M27" i="13"/>
  <c r="C21" i="7"/>
  <c r="C30" i="7"/>
  <c r="C34" i="8"/>
  <c r="C43" i="9"/>
  <c r="C31" i="9"/>
  <c r="C29" i="7"/>
  <c r="C33" i="7"/>
  <c r="M189" i="42"/>
  <c r="F42" i="6"/>
  <c r="M102" i="42"/>
  <c r="M26" i="10"/>
  <c r="C26" i="10"/>
  <c r="C25" i="7"/>
  <c r="C35" i="10"/>
  <c r="C24" i="7"/>
  <c r="C31" i="7"/>
  <c r="C26" i="8"/>
  <c r="C20" i="7"/>
  <c r="AD57" i="3"/>
  <c r="AD59" i="3" s="1"/>
  <c r="AB59" i="2"/>
  <c r="N42" i="6"/>
  <c r="I43" i="9"/>
  <c r="C42" i="7"/>
  <c r="C41" i="8"/>
  <c r="C41" i="7"/>
  <c r="I31" i="9"/>
  <c r="C40" i="8"/>
  <c r="AE145" i="17"/>
  <c r="AH145" i="17" s="1"/>
  <c r="AJ145" i="17" s="1"/>
  <c r="AH16" i="17"/>
  <c r="AJ16" i="17" s="1"/>
  <c r="Q40" i="14"/>
  <c r="U40" i="14"/>
  <c r="D42" i="6"/>
  <c r="L44" i="5"/>
  <c r="L45" i="5" s="1"/>
  <c r="K101" i="30" l="1"/>
  <c r="K155" i="30" s="1"/>
  <c r="S37" i="14"/>
  <c r="S40" i="14" s="1"/>
  <c r="AL14" i="24"/>
  <c r="AF59" i="3"/>
  <c r="I39" i="11"/>
  <c r="I42" i="11" s="1"/>
  <c r="C37" i="13"/>
  <c r="C40" i="13" s="1"/>
  <c r="K45" i="31"/>
  <c r="AJ82" i="25"/>
  <c r="I36" i="12"/>
  <c r="I39" i="12" s="1"/>
  <c r="AL15" i="23"/>
  <c r="AN15" i="23" s="1"/>
  <c r="G40" i="13"/>
  <c r="K39" i="13"/>
  <c r="K40" i="13" s="1"/>
  <c r="L48" i="32"/>
  <c r="M37" i="13"/>
  <c r="P59" i="2"/>
  <c r="I37" i="14"/>
  <c r="I40" i="14" s="1"/>
  <c r="T39" i="11"/>
  <c r="T42" i="11" s="1"/>
  <c r="I43" i="7"/>
  <c r="G43" i="7"/>
  <c r="G47" i="7" s="1"/>
  <c r="I47" i="9"/>
  <c r="I50" i="9" s="1"/>
  <c r="L41" i="6"/>
  <c r="S41" i="6" s="1"/>
  <c r="AH146" i="16"/>
  <c r="AJ146" i="16" s="1"/>
  <c r="I37" i="8"/>
  <c r="C37" i="8"/>
  <c r="C42" i="8"/>
  <c r="C46" i="8" s="1"/>
  <c r="C49" i="8" s="1"/>
  <c r="C47" i="9"/>
  <c r="C50" i="9" s="1"/>
  <c r="AI59" i="2"/>
  <c r="AH16" i="16"/>
  <c r="AJ16" i="16" s="1"/>
  <c r="R59" i="2"/>
  <c r="AI57" i="2"/>
  <c r="AG57" i="2"/>
  <c r="AG59" i="2" s="1"/>
  <c r="I42" i="8"/>
  <c r="I46" i="8" s="1"/>
  <c r="I49" i="8" s="1"/>
  <c r="J41" i="6"/>
  <c r="J42" i="6" s="1"/>
  <c r="C146" i="16"/>
  <c r="E146" i="16" s="1"/>
  <c r="G146" i="16" s="1"/>
  <c r="I146" i="16" s="1"/>
  <c r="K146" i="16" s="1"/>
  <c r="M146" i="16" s="1"/>
  <c r="O146" i="16" s="1"/>
  <c r="Q146" i="16" s="1"/>
  <c r="S146" i="16" s="1"/>
  <c r="U146" i="16" s="1"/>
  <c r="W146" i="16" s="1"/>
  <c r="Y146" i="16" s="1"/>
  <c r="M263" i="42"/>
  <c r="I34" i="7"/>
  <c r="M39" i="10"/>
  <c r="M42" i="10" s="1"/>
  <c r="I26" i="7"/>
  <c r="C34" i="7"/>
  <c r="AF57" i="3"/>
  <c r="C39" i="10"/>
  <c r="C42" i="10" s="1"/>
  <c r="C26" i="7"/>
  <c r="C43" i="7"/>
  <c r="V57" i="2"/>
  <c r="V59" i="2" s="1"/>
  <c r="S44" i="5"/>
  <c r="U44" i="5" s="1"/>
  <c r="AL103" i="23" l="1"/>
  <c r="M40" i="13"/>
  <c r="K50" i="7"/>
  <c r="O40" i="13"/>
  <c r="L42" i="6"/>
  <c r="G50" i="7"/>
  <c r="I37" i="7"/>
  <c r="I47" i="7"/>
  <c r="I50" i="7" s="1"/>
  <c r="C47" i="7"/>
  <c r="C50" i="7" s="1"/>
  <c r="C37" i="7"/>
  <c r="S45" i="5"/>
  <c r="U45" i="5" s="1"/>
  <c r="U41" i="6"/>
  <c r="S42" i="6"/>
  <c r="U42" i="6" s="1"/>
</calcChain>
</file>

<file path=xl/sharedStrings.xml><?xml version="1.0" encoding="utf-8"?>
<sst xmlns="http://schemas.openxmlformats.org/spreadsheetml/2006/main" count="4126" uniqueCount="1554">
  <si>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</si>
  <si>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</si>
  <si>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</si>
  <si>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</si>
  <si>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</si>
  <si>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</si>
  <si>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</si>
  <si>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</si>
  <si>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</si>
  <si>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</si>
  <si>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</si>
  <si>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</si>
  <si>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</si>
  <si>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</si>
  <si>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</si>
  <si>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</si>
  <si>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</si>
  <si>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</si>
  <si>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</si>
  <si>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</si>
  <si>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</si>
  <si>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</si>
  <si>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</si>
  <si>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</si>
  <si>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</si>
  <si>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</si>
  <si>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</si>
  <si>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</si>
  <si>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</si>
  <si>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</si>
  <si>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</si>
  <si>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</si>
  <si>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</si>
  <si>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</si>
  <si>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</si>
  <si>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</si>
  <si>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</si>
  <si>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</si>
  <si>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</si>
  <si>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</si>
  <si>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</si>
  <si>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</si>
  <si>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</si>
  <si>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</si>
  <si>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</si>
  <si>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</si>
  <si>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</si>
  <si>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</si>
  <si>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</si>
  <si>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</si>
  <si>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</si>
  <si>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</si>
  <si>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</si>
  <si>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</si>
  <si>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</si>
  <si>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</si>
  <si>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</si>
  <si>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</si>
  <si>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</si>
  <si>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</si>
  <si>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</si>
  <si>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</si>
  <si>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</si>
  <si>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</si>
  <si>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</si>
  <si>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</si>
  <si>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</si>
  <si>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</si>
  <si>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</si>
  <si>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</si>
  <si>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</si>
  <si>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</si>
  <si>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</si>
  <si>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</si>
  <si>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</si>
  <si>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</si>
  <si>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</si>
  <si>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</si>
  <si>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</si>
  <si>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</si>
  <si>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</si>
  <si>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</si>
  <si>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</si>
  <si>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</si>
  <si>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</si>
  <si>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</si>
  <si>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</si>
  <si>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</si>
  <si>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</si>
  <si>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</si>
  <si>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</si>
  <si>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</si>
  <si>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</si>
  <si>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</si>
  <si>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</si>
  <si>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</si>
  <si>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</si>
  <si>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</si>
  <si>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</si>
  <si>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</si>
  <si>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</si>
  <si>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</si>
  <si>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</si>
  <si>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</si>
  <si>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</si>
  <si>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</si>
  <si>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</si>
  <si>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</si>
  <si>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</si>
  <si>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</si>
  <si>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</si>
  <si>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</si>
  <si>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</si>
  <si>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</si>
  <si>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</si>
  <si>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</si>
  <si>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</si>
  <si>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</si>
  <si>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</si>
  <si>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</si>
  <si>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</si>
  <si>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</si>
  <si>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</si>
  <si>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</si>
  <si>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</si>
  <si>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</si>
  <si>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</si>
  <si>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</si>
  <si>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</si>
  <si>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</si>
  <si>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</si>
  <si>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</si>
  <si>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</si>
  <si>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</si>
  <si>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</si>
  <si>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</si>
  <si>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</si>
  <si>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</si>
  <si>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</si>
  <si>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</si>
  <si>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</si>
  <si>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</si>
  <si>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</si>
  <si>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</si>
  <si>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</si>
  <si>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</si>
  <si>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</si>
  <si>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</si>
  <si>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</si>
  <si>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</si>
  <si>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</si>
  <si>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</si>
  <si>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</si>
  <si>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</si>
  <si>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</si>
  <si>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</si>
  <si>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</si>
  <si>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</si>
  <si>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</si>
  <si>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</si>
  <si>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</si>
  <si>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</si>
  <si>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</si>
  <si>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</si>
  <si>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</si>
  <si>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</si>
  <si>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</si>
  <si>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</si>
  <si>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</si>
  <si>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</si>
  <si>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</si>
  <si>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</si>
  <si>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</si>
  <si>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</si>
  <si>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</si>
  <si>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</si>
  <si>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</si>
  <si>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</si>
  <si>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</si>
  <si>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</si>
  <si>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</si>
  <si>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</si>
  <si>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</si>
  <si>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</si>
  <si>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</si>
  <si>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</si>
  <si>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</si>
  <si>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</si>
  <si>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</si>
  <si>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</si>
  <si>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</si>
  <si>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</si>
  <si>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</si>
  <si>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</si>
  <si>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</si>
  <si>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</si>
  <si>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</si>
  <si>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</si>
  <si>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</si>
  <si>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</si>
  <si>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</si>
  <si>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</si>
  <si>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</si>
  <si>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</si>
  <si>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</si>
  <si>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</si>
  <si>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</si>
  <si>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</si>
  <si>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</si>
  <si>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</si>
  <si>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</si>
  <si>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</si>
  <si>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</si>
  <si>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</si>
  <si>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</si>
  <si>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</si>
  <si>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</si>
  <si>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</si>
  <si>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</si>
  <si>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</si>
  <si>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</si>
  <si>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</si>
  <si>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</si>
  <si>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</si>
  <si>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</si>
  <si>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</si>
  <si>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</si>
  <si>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</si>
  <si>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</si>
  <si>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</si>
  <si>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</si>
  <si>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</si>
  <si>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</si>
  <si>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</si>
  <si>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</si>
  <si>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</si>
  <si>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</si>
  <si>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</si>
  <si>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</si>
  <si>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</si>
  <si>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</si>
  <si>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</si>
  <si>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</si>
  <si>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</si>
  <si>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</si>
  <si>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</si>
  <si>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</si>
  <si>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</si>
  <si>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</si>
  <si>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</si>
  <si>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</si>
  <si>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</si>
  <si>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</si>
  <si>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</si>
  <si>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</si>
  <si>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</si>
  <si>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</si>
  <si>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</si>
  <si>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</si>
  <si>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</si>
  <si>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</si>
  <si>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</si>
  <si>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</si>
  <si>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</si>
  <si>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</si>
  <si>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</si>
  <si>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</si>
  <si>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</si>
  <si>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</si>
  <si>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</si>
  <si>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</si>
  <si>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</si>
  <si>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</si>
  <si>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</si>
  <si>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</si>
  <si>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</si>
  <si>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</si>
  <si>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</si>
  <si>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</si>
  <si>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</si>
  <si>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</si>
  <si>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</si>
  <si>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</si>
  <si>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</si>
  <si>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</si>
  <si>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</si>
  <si>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</si>
  <si>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</si>
  <si>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</si>
  <si>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</si>
  <si>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</si>
  <si>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</si>
  <si>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</si>
  <si>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</si>
  <si>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</si>
  <si>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</si>
  <si>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</si>
  <si>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</si>
  <si>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</si>
  <si>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</si>
  <si>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</si>
  <si>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</si>
  <si>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</si>
  <si>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</si>
  <si>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</si>
  <si>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</si>
  <si>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</si>
  <si>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</si>
  <si>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</si>
  <si>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</si>
  <si>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</si>
  <si>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</si>
  <si>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</si>
  <si>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</si>
  <si>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</si>
  <si>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</si>
  <si>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</si>
  <si>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</si>
  <si>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</si>
  <si>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</si>
  <si>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</si>
  <si>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</si>
  <si>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</si>
  <si>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</si>
  <si>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</si>
  <si>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</si>
  <si>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</si>
  <si>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</si>
  <si>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</si>
  <si>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</si>
  <si>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</si>
  <si>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</si>
  <si>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</si>
  <si>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</si>
  <si>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</si>
  <si>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</si>
  <si>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</si>
  <si>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</si>
  <si>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</si>
  <si>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</si>
  <si>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</si>
  <si>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</si>
  <si>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</si>
  <si>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</si>
  <si>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</si>
  <si>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</si>
  <si>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</si>
  <si>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</si>
  <si>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</si>
  <si>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</si>
  <si>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</si>
  <si>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</si>
  <si>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</si>
  <si>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</si>
  <si>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</si>
  <si>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</si>
  <si>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</si>
  <si>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</si>
  <si>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</si>
  <si>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</si>
  <si>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</si>
  <si>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</si>
  <si>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</si>
  <si>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</si>
  <si>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</si>
  <si>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</si>
  <si>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</si>
  <si>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</si>
  <si>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</si>
  <si>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</si>
  <si>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</si>
  <si>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</si>
  <si>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</si>
  <si>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</si>
  <si>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</si>
  <si>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</si>
  <si>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</si>
  <si>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</si>
  <si>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</si>
  <si>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</si>
  <si>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</si>
  <si>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</si>
  <si>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</si>
  <si>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</si>
  <si>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</si>
  <si>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</si>
  <si>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</si>
  <si>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</si>
  <si>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</si>
  <si>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</si>
  <si>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</si>
  <si>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</si>
  <si>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</si>
  <si>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</si>
  <si>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</si>
  <si>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</si>
  <si>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</si>
  <si>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</si>
  <si>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</si>
  <si>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</si>
  <si>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</si>
  <si>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</si>
  <si>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</si>
  <si>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</si>
  <si>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</si>
  <si>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</si>
  <si>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</si>
  <si>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</si>
  <si>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</si>
  <si>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</si>
  <si>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</si>
  <si>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</si>
  <si>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</si>
  <si>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</si>
  <si>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</si>
  <si>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</si>
  <si>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</si>
  <si>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</si>
  <si>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</si>
  <si>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</si>
  <si>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</si>
  <si>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</si>
  <si>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</si>
  <si>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</si>
  <si>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</si>
  <si>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</si>
  <si>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</si>
  <si>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</si>
  <si>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</si>
  <si>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</si>
  <si>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</si>
  <si>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</si>
  <si>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</si>
  <si>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</si>
  <si>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</si>
  <si>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</si>
  <si>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</si>
  <si>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</si>
  <si>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</si>
  <si>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</si>
  <si>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</si>
  <si>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</si>
  <si>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</si>
  <si>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</si>
  <si>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</si>
  <si>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</si>
  <si>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</si>
  <si>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</si>
  <si>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</si>
  <si>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</si>
  <si>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</si>
  <si>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</si>
  <si>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</si>
  <si>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</si>
  <si>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</si>
  <si>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</si>
  <si>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</si>
  <si>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</si>
  <si>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</si>
  <si>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</si>
  <si>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</si>
  <si>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</si>
  <si>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</si>
  <si>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</si>
  <si>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</si>
  <si>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</si>
  <si>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</si>
  <si>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</si>
  <si>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</si>
  <si>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</si>
  <si>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</si>
  <si>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</si>
  <si>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</si>
  <si>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</si>
  <si>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</si>
  <si>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</si>
  <si>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</si>
  <si>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</si>
  <si>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</si>
  <si>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</si>
  <si>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</si>
  <si>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</si>
  <si>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</si>
  <si>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</si>
  <si>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</si>
  <si>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</si>
  <si>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</si>
  <si>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</si>
  <si>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</si>
  <si>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</si>
  <si>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</si>
  <si>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</si>
  <si>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</si>
  <si>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</si>
  <si>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</si>
  <si>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</si>
  <si>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</si>
  <si>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</si>
  <si>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</si>
  <si>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</si>
  <si>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</si>
  <si>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</si>
  <si>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</si>
  <si>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</si>
  <si>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</si>
  <si>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</si>
  <si>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</si>
  <si>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</si>
  <si>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</si>
  <si>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</si>
  <si>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</si>
  <si>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</si>
  <si>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</si>
  <si>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</si>
  <si>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</si>
  <si>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</si>
  <si>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</si>
  <si>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</si>
  <si>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</si>
  <si>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</si>
  <si>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</si>
  <si>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</si>
  <si>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</si>
  <si>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</si>
  <si>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</si>
  <si>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</si>
  <si>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</si>
  <si>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</si>
  <si>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</si>
  <si>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</si>
  <si>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</si>
  <si>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</si>
  <si>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</si>
  <si>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</si>
  <si>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</si>
  <si>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</si>
  <si>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</si>
  <si>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</si>
  <si>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</si>
  <si>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</si>
  <si>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</si>
  <si>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</si>
  <si>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</si>
  <si>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</si>
  <si>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</si>
  <si>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</si>
  <si>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</si>
  <si>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</si>
  <si>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</si>
  <si>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</si>
  <si>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</si>
  <si>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</si>
  <si>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</si>
  <si>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</si>
  <si>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</si>
  <si>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</si>
  <si>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</si>
  <si>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</si>
  <si>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</si>
  <si>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</si>
  <si>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</si>
  <si>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</si>
  <si>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</si>
  <si>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</si>
  <si>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</si>
  <si>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</si>
  <si>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</si>
  <si>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</si>
  <si>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</si>
  <si>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</si>
  <si>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</si>
  <si>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</si>
  <si>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</si>
  <si>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</si>
  <si>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</si>
  <si>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</si>
  <si>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</si>
  <si>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</si>
  <si>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</si>
  <si>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</si>
  <si>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</si>
  <si>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</si>
  <si>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</si>
  <si>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</si>
  <si>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</si>
  <si>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</si>
  <si>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</si>
  <si>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</si>
  <si>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</si>
  <si>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</si>
  <si>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</si>
  <si>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</si>
  <si>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</si>
  <si>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</si>
  <si>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</si>
  <si>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</si>
  <si>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</si>
  <si>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</si>
  <si>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</si>
  <si>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</si>
  <si>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</si>
  <si>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</si>
  <si>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</si>
  <si>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</si>
  <si>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</si>
  <si>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</si>
  <si>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</si>
  <si>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</si>
  <si>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</si>
  <si>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</si>
  <si>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</si>
  <si>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</si>
  <si>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</si>
  <si>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</si>
  <si>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</si>
  <si>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</si>
  <si>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</si>
  <si>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</si>
  <si>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</si>
  <si>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</si>
  <si>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</si>
  <si>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</si>
  <si>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</si>
  <si>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</si>
  <si>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</si>
  <si>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</si>
  <si>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</si>
  <si>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</si>
  <si>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</si>
  <si>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</si>
  <si>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</si>
  <si>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</si>
  <si>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</si>
  <si>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</si>
  <si>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</si>
  <si>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</si>
  <si>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</si>
  <si>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</si>
  <si>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</si>
  <si>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</si>
  <si>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</si>
  <si>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</si>
  <si>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</si>
  <si>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</si>
  <si>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</si>
  <si>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</si>
  <si>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</si>
  <si>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</si>
  <si>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</si>
  <si>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</si>
  <si>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</si>
  <si>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</si>
  <si>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</si>
  <si>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</si>
  <si>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</si>
  <si>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</si>
  <si>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</si>
  <si>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</si>
  <si>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</si>
  <si>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</si>
  <si>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</si>
  <si>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</si>
  <si>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</si>
  <si>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</si>
  <si>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</si>
  <si>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</si>
  <si>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</si>
  <si>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</si>
  <si>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</si>
  <si>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</si>
  <si>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</si>
  <si>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</si>
  <si>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</si>
  <si>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</si>
  <si>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</si>
  <si>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</si>
  <si>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</si>
  <si>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</si>
  <si>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</si>
  <si>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</si>
  <si>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</si>
  <si>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</si>
  <si>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</si>
  <si>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</si>
  <si>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</si>
  <si>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</si>
  <si>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</si>
  <si>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</si>
  <si>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</si>
  <si>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</si>
  <si>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</si>
  <si>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</si>
  <si>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</si>
  <si>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</si>
  <si>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</si>
  <si>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</si>
  <si>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</si>
  <si>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</si>
  <si>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</si>
  <si>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</si>
  <si>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</si>
  <si>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</si>
  <si>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</si>
  <si>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</si>
  <si>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</si>
  <si>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</si>
  <si>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</si>
  <si>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</si>
  <si>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</si>
  <si>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</si>
  <si>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</si>
  <si>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</si>
  <si>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</si>
  <si>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</si>
  <si>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</si>
  <si>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</si>
  <si>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</si>
  <si>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</si>
  <si>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</si>
  <si>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</si>
  <si>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</si>
  <si>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</si>
  <si>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</si>
  <si>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</si>
  <si>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</si>
  <si>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</si>
  <si>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</si>
  <si>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</si>
  <si>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</si>
  <si>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</si>
  <si>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</si>
  <si>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</si>
  <si>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</si>
  <si>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</si>
  <si>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</si>
  <si>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</si>
  <si>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</si>
  <si>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</si>
  <si>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</si>
  <si>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</si>
  <si>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</si>
  <si>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</si>
  <si>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</si>
  <si>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</si>
  <si>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</si>
  <si>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</si>
  <si>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</si>
  <si>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</si>
  <si>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</si>
  <si>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</si>
  <si>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</si>
  <si>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</si>
  <si>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</si>
  <si>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</si>
  <si>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</si>
  <si>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</si>
  <si>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</si>
  <si>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</si>
  <si>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</si>
  <si>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</si>
  <si>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</si>
  <si>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</si>
  <si>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</si>
  <si>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</si>
  <si>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</si>
  <si>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</si>
  <si>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</si>
  <si>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</si>
  <si>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</si>
  <si>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</si>
  <si>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</si>
  <si>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</si>
  <si>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</si>
  <si>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</si>
  <si>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</si>
  <si>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</si>
  <si>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</si>
  <si>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</si>
  <si>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</si>
  <si>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</si>
  <si>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</si>
  <si>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</si>
  <si>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</si>
  <si>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</si>
  <si>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</si>
  <si>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</si>
  <si>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</si>
  <si>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</si>
  <si>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</si>
  <si>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</si>
  <si>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</si>
  <si>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</si>
  <si>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</si>
  <si>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</si>
  <si>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</si>
  <si>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</si>
  <si>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</si>
  <si>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</si>
  <si>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</si>
  <si>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</si>
  <si>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</si>
  <si>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</si>
  <si>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</si>
  <si>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</si>
  <si>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</si>
  <si>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</si>
  <si>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</si>
  <si>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</si>
  <si>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</si>
  <si>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</si>
  <si>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</si>
  <si>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</si>
  <si>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</si>
  <si>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</si>
  <si>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</si>
  <si>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</si>
  <si>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</si>
  <si>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</si>
  <si>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</si>
  <si>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</si>
  <si>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</si>
  <si>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</si>
  <si>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</si>
  <si>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</si>
  <si>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</si>
  <si>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</si>
  <si>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</si>
  <si>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</si>
  <si>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</si>
  <si>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</si>
  <si>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</si>
  <si>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</si>
  <si>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</si>
  <si>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</si>
  <si>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</si>
  <si>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</si>
  <si>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</si>
  <si>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</si>
  <si>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</si>
  <si>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</si>
  <si>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</si>
  <si>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</si>
  <si>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</si>
  <si>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</si>
  <si>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</si>
  <si>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</si>
  <si>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</si>
  <si>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</si>
  <si>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</si>
  <si>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</si>
  <si>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</si>
  <si>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</si>
  <si>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</si>
  <si>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</si>
  <si>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</si>
  <si>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</si>
  <si>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</si>
  <si>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</si>
  <si>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</si>
  <si>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</si>
  <si>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</si>
  <si>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</si>
  <si>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</si>
  <si>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</si>
  <si>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</si>
  <si>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</si>
  <si>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</si>
  <si>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</si>
  <si>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</si>
  <si>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</si>
  <si>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</si>
  <si>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</si>
  <si>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</si>
  <si>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</si>
  <si>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</si>
  <si>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</si>
  <si>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</si>
  <si>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</si>
  <si>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</si>
  <si>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</si>
  <si>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</si>
  <si>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</si>
  <si>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</si>
  <si>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</si>
  <si>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</si>
  <si>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</si>
  <si>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</si>
  <si>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</si>
  <si>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</si>
  <si>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</si>
  <si>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</si>
  <si>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</si>
  <si>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</si>
  <si>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</si>
  <si>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</si>
  <si>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</si>
  <si>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</si>
  <si>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</si>
  <si>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</si>
  <si>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</si>
  <si>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</si>
  <si>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</si>
  <si>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</si>
  <si>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</si>
  <si>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</si>
  <si>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</si>
  <si>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</si>
  <si>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</si>
  <si>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</si>
  <si>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</si>
  <si>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</si>
  <si>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</si>
  <si>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</si>
  <si>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</si>
  <si>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</si>
  <si>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</si>
  <si>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</si>
  <si>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</si>
  <si>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</si>
  <si>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</si>
  <si>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</si>
  <si>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</si>
  <si>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</si>
  <si>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</si>
  <si>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</si>
  <si>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</si>
  <si>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</si>
  <si>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</si>
  <si>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</si>
  <si>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</si>
  <si>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</si>
  <si>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</si>
  <si>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</si>
  <si>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</si>
  <si>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</si>
  <si>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</si>
  <si>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</si>
  <si>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</si>
  <si>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</si>
  <si>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</si>
  <si>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</si>
  <si>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</si>
  <si>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</si>
  <si>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</si>
  <si>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</si>
  <si>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</si>
  <si>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</si>
  <si>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</si>
  <si>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</si>
  <si>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</si>
  <si>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</si>
  <si>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</si>
  <si>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</si>
  <si>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</si>
  <si>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</si>
  <si>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</si>
  <si>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</si>
  <si>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</si>
  <si>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</si>
  <si>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</si>
  <si>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</si>
  <si>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</si>
  <si>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</si>
  <si>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</si>
  <si>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</si>
  <si>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</si>
  <si>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</si>
  <si>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</si>
  <si>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</si>
  <si>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</si>
  <si>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</si>
  <si>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</si>
  <si>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</si>
  <si>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</si>
  <si>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</si>
  <si>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</si>
  <si>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</si>
  <si>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</si>
  <si>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</si>
  <si>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</si>
  <si>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</si>
  <si>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</si>
  <si>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</si>
  <si>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</si>
  <si>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</si>
  <si>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</si>
  <si>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</si>
  <si>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</si>
  <si>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</si>
  <si>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</si>
  <si>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</si>
  <si>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</si>
  <si>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</si>
  <si>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</si>
  <si>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</si>
  <si>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</si>
  <si>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</si>
  <si>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</si>
  <si>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</si>
  <si>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</si>
  <si>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</si>
  <si>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</si>
  <si>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</si>
  <si>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</si>
  <si>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</si>
  <si>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</si>
  <si>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</si>
  <si>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</si>
  <si>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</si>
  <si>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</si>
  <si>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</si>
  <si>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</si>
  <si>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</si>
  <si>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</si>
  <si>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</si>
  <si>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</si>
  <si>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</si>
  <si>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</si>
  <si>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</si>
  <si>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</si>
  <si>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</si>
  <si>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</si>
  <si>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</si>
  <si>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</si>
  <si>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</si>
  <si>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</si>
  <si>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</si>
  <si>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</si>
  <si>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</si>
  <si>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</si>
  <si>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</si>
  <si>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</si>
  <si>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</si>
  <si>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</si>
  <si>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</si>
  <si>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</si>
  <si>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</si>
  <si>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</si>
  <si>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</si>
  <si>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</si>
  <si>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</si>
  <si>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</si>
  <si>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</si>
  <si>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</si>
  <si>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</si>
  <si>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</si>
  <si>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</si>
  <si>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</si>
  <si>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</si>
  <si>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</si>
  <si>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</si>
  <si>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</si>
  <si>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</si>
  <si>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</si>
  <si>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</si>
  <si>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</si>
  <si>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</si>
  <si>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</si>
  <si>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</si>
  <si>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</si>
  <si>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</si>
  <si>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</si>
  <si>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</si>
  <si>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</si>
  <si>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</si>
  <si>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</si>
  <si>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</si>
  <si>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</si>
  <si>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</si>
  <si>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</si>
  <si>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</si>
  <si>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</si>
  <si>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</si>
  <si>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</si>
  <si>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</si>
  <si>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</si>
  <si>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</si>
  <si>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</si>
  <si>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</si>
  <si>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</si>
  <si>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</si>
  <si>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</si>
  <si>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</si>
  <si>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</si>
  <si>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</si>
  <si>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</si>
  <si>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</si>
  <si>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</si>
  <si>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</si>
  <si>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</si>
  <si>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</si>
  <si>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</si>
  <si>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</si>
  <si>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</si>
  <si>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</si>
  <si>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</si>
  <si>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</si>
  <si>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</si>
  <si>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</si>
  <si>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</si>
  <si>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</si>
  <si>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</si>
  <si>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</si>
  <si>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</si>
  <si>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</si>
  <si>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</si>
  <si>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</si>
  <si>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</si>
  <si>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</si>
  <si>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</si>
  <si>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</si>
  <si>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</si>
  <si>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</si>
  <si>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</si>
  <si>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</si>
  <si>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</si>
  <si>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</si>
  <si>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</si>
  <si>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</si>
  <si>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</si>
  <si>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</si>
  <si>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</si>
  <si>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</si>
  <si>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</si>
  <si>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</si>
  <si>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</si>
  <si>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</si>
  <si>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</si>
  <si>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</si>
  <si>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</si>
  <si>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</si>
  <si>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</si>
  <si>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</si>
  <si>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</si>
  <si>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</si>
  <si>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</si>
  <si>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</si>
  <si>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</si>
  <si>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</si>
  <si>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</si>
  <si>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</si>
  <si>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</si>
  <si>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</si>
  <si>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</si>
  <si>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</si>
  <si>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</si>
  <si>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</si>
  <si>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</si>
  <si>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</si>
  <si>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</si>
  <si>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</si>
  <si>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</si>
  <si>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</si>
  <si>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</si>
  <si>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</si>
  <si>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</si>
  <si>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</si>
  <si>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</si>
  <si>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</si>
  <si>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</si>
  <si>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</si>
  <si>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</si>
  <si>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</si>
  <si>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</si>
  <si>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</si>
  <si>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</si>
  <si>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</si>
  <si>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</si>
  <si>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</si>
  <si>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</si>
  <si>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</si>
  <si>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</si>
  <si>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</si>
  <si>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</si>
  <si>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</si>
  <si>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</si>
  <si>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</si>
  <si>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</si>
  <si>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</si>
  <si>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</si>
  <si>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</si>
  <si>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</si>
  <si>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</si>
  <si>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</si>
  <si>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</si>
  <si>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</si>
  <si>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</si>
  <si>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</si>
  <si>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</si>
  <si>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</si>
  <si>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</si>
  <si>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</si>
  <si>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</si>
  <si>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</si>
  <si>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</si>
  <si>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</si>
  <si>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</si>
  <si>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</si>
  <si>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</si>
  <si>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</si>
  <si>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</si>
  <si>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</si>
  <si>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</si>
  <si>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</si>
  <si>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</si>
  <si>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</si>
  <si>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</si>
  <si>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</si>
  <si>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</si>
  <si>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</si>
  <si>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</si>
  <si>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</si>
  <si>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</si>
  <si>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</si>
  <si>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</si>
  <si>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</si>
  <si>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</si>
  <si>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</si>
  <si>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</si>
  <si>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</si>
  <si>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</si>
  <si>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</si>
  <si>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</si>
  <si>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</si>
  <si>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</si>
  <si>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</si>
  <si>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</si>
  <si>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</si>
  <si>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</si>
  <si>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</si>
  <si>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</si>
  <si>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</si>
  <si>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</si>
  <si>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</si>
  <si>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</si>
  <si>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</si>
  <si>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</si>
  <si>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</si>
  <si>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</si>
  <si>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</si>
  <si>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</si>
  <si>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</si>
  <si>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</si>
  <si>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</si>
  <si>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</si>
  <si>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</si>
  <si>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</si>
  <si>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</si>
  <si>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</si>
  <si>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</si>
  <si>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</si>
  <si>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</si>
  <si>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</si>
  <si>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</si>
  <si>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</si>
  <si>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</si>
  <si>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</si>
  <si>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</si>
  <si>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</si>
  <si>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</si>
  <si>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</si>
  <si>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</si>
  <si>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</si>
  <si>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</si>
  <si>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</si>
  <si>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</si>
  <si>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</si>
  <si>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</si>
  <si>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</si>
  <si>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</si>
  <si>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</si>
  <si>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</si>
  <si>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</si>
  <si>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</si>
  <si>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</si>
  <si>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</si>
  <si>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</si>
  <si>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</si>
  <si>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</si>
  <si>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</si>
  <si>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</si>
  <si>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</si>
  <si>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</si>
  <si>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</si>
  <si>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</si>
  <si>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</si>
  <si>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</si>
  <si>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</si>
  <si>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</si>
  <si>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</si>
  <si>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</si>
  <si>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</si>
  <si>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</si>
  <si>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</si>
  <si>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</si>
  <si>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</si>
  <si>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</si>
  <si>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</si>
  <si>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</si>
  <si>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</si>
  <si>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</si>
  <si>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</si>
  <si>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</si>
  <si>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</si>
  <si>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</si>
  <si>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</si>
  <si>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</si>
  <si>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</si>
  <si>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</si>
  <si>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</si>
  <si>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</si>
  <si>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</si>
  <si>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</si>
  <si>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</si>
  <si>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</si>
  <si>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</si>
  <si>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</si>
  <si>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</si>
  <si>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</si>
  <si>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</si>
  <si>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</si>
  <si>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</si>
  <si>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</si>
  <si>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</si>
  <si>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</si>
  <si>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</si>
  <si>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</si>
  <si>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</si>
  <si>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</si>
  <si>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</si>
  <si>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</si>
  <si>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</si>
  <si>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</si>
  <si>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</si>
  <si>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</si>
  <si>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</si>
  <si>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</si>
  <si>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</si>
  <si>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</si>
  <si>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</si>
  <si>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</si>
  <si>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</si>
  <si>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</si>
  <si>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</si>
  <si>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</si>
  <si>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</si>
  <si>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</si>
  <si>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</si>
  <si>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</si>
  <si>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</si>
  <si>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</si>
  <si>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</si>
  <si>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</si>
  <si>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</si>
  <si>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</si>
  <si>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</si>
  <si>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</si>
  <si>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</si>
  <si>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</si>
  <si>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</si>
  <si>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</si>
  <si>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</si>
  <si>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</si>
  <si>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</si>
  <si>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</si>
  <si>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</si>
  <si>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</si>
  <si>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</si>
  <si>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</si>
  <si>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</si>
  <si>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</si>
  <si>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</si>
  <si>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</si>
  <si>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</si>
  <si>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</si>
  <si>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</si>
  <si>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</si>
  <si>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</si>
  <si>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</si>
  <si>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</si>
  <si>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</si>
  <si>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</si>
  <si>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</si>
  <si>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</si>
  <si>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</si>
  <si>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</si>
  <si>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</si>
  <si>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</si>
  <si>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</si>
  <si>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</si>
  <si>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</si>
  <si>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</si>
  <si>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</si>
  <si>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</si>
  <si>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</si>
  <si>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</si>
  <si>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</si>
  <si>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</si>
  <si>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</si>
  <si>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</si>
  <si>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</si>
  <si>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</si>
  <si>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</si>
  <si>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</si>
  <si>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</si>
  <si>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</si>
  <si>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</si>
  <si>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February 28, 2021</t>
  </si>
  <si>
    <t>March 31, 2021</t>
  </si>
  <si>
    <t>January 31, 2021</t>
  </si>
  <si>
    <t>April 30, 2021</t>
  </si>
  <si>
    <t>APR. 2021</t>
  </si>
  <si>
    <t>APR. 30, 2021</t>
  </si>
  <si>
    <t>1 MO. ENDED</t>
  </si>
  <si>
    <t>APR. 2020</t>
  </si>
  <si>
    <t>APR. 30, 2020</t>
  </si>
  <si>
    <t>APRIL 2021</t>
  </si>
  <si>
    <t>FISCAL YEAR 2021-2022</t>
  </si>
  <si>
    <t xml:space="preserve">FOR ONE MONTH ENDED APRIL 30, 2021    </t>
  </si>
  <si>
    <t>Fund Balances (Deficits) at April 30, 2021</t>
  </si>
  <si>
    <t xml:space="preserve">FISCAL YEAR 2021-2022   </t>
  </si>
  <si>
    <t>2021</t>
  </si>
  <si>
    <t>1 Month Ended April 30</t>
  </si>
  <si>
    <t>FOR THE MONTH OF APRIL 2021</t>
  </si>
  <si>
    <t>APRIL 1, 2021</t>
  </si>
  <si>
    <t>APRIL 30, 2021</t>
  </si>
  <si>
    <t>1 MONTH ENDED</t>
  </si>
  <si>
    <t xml:space="preserve">FOR THE ONE MONTH ENDED APRIL 30, 2021     </t>
  </si>
  <si>
    <t>1 MONTH ENDED APRIL 30</t>
  </si>
  <si>
    <t>APRIL 2020</t>
  </si>
  <si>
    <t>1 Month Ended</t>
  </si>
  <si>
    <t>2021-2022</t>
  </si>
  <si>
    <t>April</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</si>
  <si>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</si>
  <si>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</si>
  <si>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</si>
  <si>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</si>
  <si>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</si>
  <si>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Plan</t>
  </si>
  <si>
    <t xml:space="preserve">(**)  Actual reported transfer amounts include eliminations between Special Revenue - State and Federal Funds. </t>
  </si>
  <si>
    <t xml:space="preserve">As of April 30, 2021, $9,546,700.91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</si>
  <si>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</si>
  <si>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</si>
  <si>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</si>
  <si>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</si>
  <si>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</si>
  <si>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</si>
  <si>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</si>
  <si>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</si>
  <si>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</si>
  <si>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</si>
  <si>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</si>
  <si>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</si>
  <si>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</si>
  <si>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</si>
  <si>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</si>
  <si>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</si>
  <si>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</si>
  <si>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</si>
  <si>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</si>
  <si>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</si>
  <si>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</si>
  <si>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</si>
  <si>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</si>
  <si>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</si>
  <si>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</si>
  <si>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</si>
  <si>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</si>
  <si>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</si>
  <si>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</si>
  <si>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</si>
  <si>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</si>
  <si>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</si>
  <si>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</si>
  <si>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</si>
  <si>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</si>
  <si>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</si>
  <si>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</si>
  <si>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</si>
  <si>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</si>
  <si>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</si>
  <si>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</si>
  <si>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</si>
  <si>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</si>
  <si>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</si>
  <si>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</si>
  <si>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</si>
  <si>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</si>
  <si>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</si>
  <si>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</si>
  <si>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</si>
  <si>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</si>
  <si>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</si>
  <si>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</si>
  <si>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</si>
  <si>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</si>
  <si>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</si>
  <si>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</si>
  <si>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</si>
  <si>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</si>
  <si>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</si>
  <si>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</si>
  <si>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</si>
  <si>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</si>
  <si>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</si>
  <si>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</si>
  <si>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</si>
  <si>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VOCATIONAL SCHOOL SUPERVISION</t>
  </si>
  <si>
    <t>ENVIR FAC CORP ADM ACCT</t>
  </si>
  <si>
    <t>OIL SPILL COMPENSATION</t>
  </si>
  <si>
    <t>LICENSE FEE SURCHARGES</t>
  </si>
  <si>
    <t>HIGH SCHOOL EQUIVALENCY PROGRAM</t>
  </si>
  <si>
    <t>COMMERCIAL GAMING REVENUE</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</si>
  <si>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</si>
  <si>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</si>
  <si>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</si>
  <si>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</si>
  <si>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</si>
  <si>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</si>
  <si>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</si>
  <si>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</si>
  <si>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</si>
  <si>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t>
  </si>
  <si>
    <t xml:space="preserve">  Personal Income Tax     </t>
  </si>
  <si>
    <t xml:space="preserve">  22022-College Savings Account</t>
  </si>
  <si>
    <t>Temporary Loans are authorized pursuant to Subdivision 5 of Section 4 of the State Finance Law and Chapter 56, Part JJ, Section 1, of the Laws of 2020-21.</t>
  </si>
  <si>
    <t>1 Month Ended April 30th, 2021 (**)</t>
  </si>
  <si>
    <t xml:space="preserve">(*) Includes amounts appropriated in SFY 2021-22, as well as prior year appropriations that were reappropriated. </t>
  </si>
  <si>
    <t>EXHIBIT A</t>
  </si>
  <si>
    <t xml:space="preserve">operated health, mental hygiene and State University facilities to Debt Service funds ($0.6m), and  </t>
  </si>
  <si>
    <t xml:space="preserve">the State University Income Fund ($3.2.m). </t>
  </si>
  <si>
    <t xml:space="preserve">the current fiscal quarter.  As of April 30, 2021 - pursuant to a certification of the Budget Director - </t>
  </si>
  <si>
    <t>the reserve amount is ($57.9m), which was funded by a transfer from the General Fund.</t>
  </si>
  <si>
    <t xml:space="preserve">Fund and Department of Health Income Fund ($125.4m) representing the federal share of Medicaid </t>
  </si>
  <si>
    <t>payments for patients residing in State-operated Health and Mental Hygiene facilities and All Other</t>
  </si>
  <si>
    <t>Capital Projects ($3.2m).</t>
  </si>
  <si>
    <t>Nursing Home Receivership Account</t>
  </si>
  <si>
    <t xml:space="preserve">of Health ($10.7m). </t>
  </si>
  <si>
    <t xml:space="preserve"> the General Debt Service Fund - Lease Purchase ($7.2m).</t>
  </si>
  <si>
    <t>(*)    Due to the absence of the 2021-22 Enacted Budget Financial Plan, the "Financial Plan Cashflow" is not available;</t>
  </si>
  <si>
    <t xml:space="preserve">        therefore no Plan-to-Actual comparison can be made for the period ending April 30, 2021.</t>
  </si>
  <si>
    <r>
      <t>Capital Projects Funds</t>
    </r>
    <r>
      <rPr>
        <b/>
        <sz val="9"/>
        <rFont val="Arial"/>
        <family val="2"/>
      </rPr>
      <t xml:space="preserve"> </t>
    </r>
    <r>
      <rPr>
        <sz val="9"/>
        <rFont val="Arial"/>
        <family val="2"/>
      </rPr>
      <t xml:space="preserve">“Transfers To Other Funds” includes transfers to the General Fund ($1.2m) and </t>
    </r>
  </si>
  <si>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</si>
  <si>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</si>
  <si>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</si>
  <si>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</si>
  <si>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</si>
  <si>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</si>
  <si>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</si>
  <si>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</si>
  <si>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</si>
  <si>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</si>
  <si>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COMPARATIVE SCHEDULE OF TAX RECEIPTS                    </t>
  </si>
  <si>
    <t xml:space="preserve"> 23250-23449-CUNY Senior College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</si>
</sst>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 numFmtId="202" formatCode="_(* #,##0.000_);_(* \(#,##0.000\);_(* &quot;-&quot;?_);_(@_)"/>
  </numFmts>
  <fonts count="20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0" fillId="6" borderId="4" applyNumberFormat="0" applyAlignment="0" applyProtection="0"/>
    <xf numFmtId="0" fontId="117" fillId="47" borderId="58" applyNumberFormat="0" applyAlignment="0" applyProtection="0"/>
    <xf numFmtId="0" fontId="117"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5"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2" fillId="0" borderId="1"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23" fillId="0" borderId="2"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4" fillId="0" borderId="3"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8" fillId="5" borderId="4" applyNumberFormat="0" applyAlignment="0" applyProtection="0"/>
    <xf numFmtId="0" fontId="123" fillId="50" borderId="58" applyNumberFormat="0" applyAlignment="0" applyProtection="0"/>
    <xf numFmtId="0" fontId="123" fillId="50" borderId="58" applyNumberFormat="0" applyAlignment="0" applyProtection="0"/>
    <xf numFmtId="0" fontId="31" fillId="0" borderId="6"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7"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0" fillId="0" borderId="0"/>
    <xf numFmtId="0" fontId="29" fillId="6" borderId="5" applyNumberFormat="0" applyAlignment="0" applyProtection="0"/>
    <xf numFmtId="0" fontId="126" fillId="47" borderId="64" applyNumberFormat="0" applyAlignment="0" applyProtection="0"/>
    <xf numFmtId="0" fontId="126" fillId="47" borderId="64" applyNumberFormat="0" applyAlignment="0" applyProtection="0"/>
    <xf numFmtId="0" fontId="21"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17" fillId="0" borderId="0"/>
    <xf numFmtId="0" fontId="17" fillId="0" borderId="0"/>
    <xf numFmtId="0" fontId="17" fillId="0" borderId="0"/>
    <xf numFmtId="0" fontId="97" fillId="0" borderId="0"/>
    <xf numFmtId="0" fontId="149"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49" fillId="0" borderId="0"/>
    <xf numFmtId="0" fontId="149" fillId="0" borderId="0"/>
    <xf numFmtId="0" fontId="17" fillId="0" borderId="0"/>
    <xf numFmtId="0" fontId="37" fillId="0" borderId="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1"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3"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3" fillId="0" borderId="0"/>
    <xf numFmtId="0" fontId="105" fillId="33" borderId="83"/>
    <xf numFmtId="0" fontId="173" fillId="0" borderId="0"/>
    <xf numFmtId="0" fontId="13" fillId="0" borderId="0"/>
    <xf numFmtId="0" fontId="173" fillId="0" borderId="0"/>
    <xf numFmtId="0" fontId="173" fillId="0" borderId="0"/>
    <xf numFmtId="0" fontId="12"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2"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2" fillId="0" borderId="0"/>
    <xf numFmtId="0" fontId="174" fillId="0" borderId="0"/>
    <xf numFmtId="0" fontId="176" fillId="0" borderId="0"/>
    <xf numFmtId="0" fontId="173" fillId="0" borderId="0"/>
    <xf numFmtId="0" fontId="173" fillId="0" borderId="0"/>
    <xf numFmtId="0" fontId="11" fillId="0" borderId="0"/>
    <xf numFmtId="0" fontId="173" fillId="0" borderId="0"/>
    <xf numFmtId="0" fontId="173" fillId="0" borderId="0"/>
    <xf numFmtId="0" fontId="11" fillId="0" borderId="0"/>
    <xf numFmtId="0" fontId="11" fillId="0" borderId="0"/>
    <xf numFmtId="0" fontId="42" fillId="0" borderId="0"/>
    <xf numFmtId="0" fontId="10" fillId="0" borderId="0"/>
    <xf numFmtId="0" fontId="174" fillId="0" borderId="0"/>
    <xf numFmtId="0" fontId="174" fillId="0" borderId="0"/>
    <xf numFmtId="0" fontId="174" fillId="0" borderId="0"/>
    <xf numFmtId="0" fontId="177" fillId="0" borderId="0"/>
    <xf numFmtId="0" fontId="177" fillId="0" borderId="0"/>
    <xf numFmtId="0" fontId="9" fillId="0" borderId="0"/>
    <xf numFmtId="0" fontId="9" fillId="0" borderId="0"/>
    <xf numFmtId="43" fontId="42" fillId="0" borderId="0" applyFont="0" applyFill="0" applyBorder="0" applyAlignment="0" applyProtection="0"/>
    <xf numFmtId="0" fontId="9" fillId="0" borderId="0"/>
    <xf numFmtId="0" fontId="177" fillId="0" borderId="0"/>
    <xf numFmtId="0" fontId="177" fillId="0" borderId="0"/>
    <xf numFmtId="0" fontId="8" fillId="0" borderId="0"/>
    <xf numFmtId="0" fontId="8" fillId="0" borderId="0"/>
    <xf numFmtId="0" fontId="8" fillId="0" borderId="0"/>
    <xf numFmtId="0" fontId="177" fillId="0" borderId="0"/>
    <xf numFmtId="0" fontId="174" fillId="0" borderId="0"/>
    <xf numFmtId="0" fontId="7" fillId="0" borderId="0"/>
    <xf numFmtId="0" fontId="174" fillId="0" borderId="0"/>
    <xf numFmtId="0" fontId="174" fillId="0" borderId="0"/>
    <xf numFmtId="0" fontId="174" fillId="0" borderId="0"/>
    <xf numFmtId="0" fontId="7" fillId="0" borderId="0"/>
    <xf numFmtId="0" fontId="174" fillId="0" borderId="0"/>
    <xf numFmtId="0" fontId="174" fillId="0" borderId="0"/>
    <xf numFmtId="164" fontId="178"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7" fillId="47" borderId="88" applyNumberFormat="0" applyAlignment="0" applyProtection="0"/>
    <xf numFmtId="0" fontId="117" fillId="47" borderId="88" applyNumberFormat="0" applyAlignment="0" applyProtection="0"/>
    <xf numFmtId="0" fontId="123" fillId="50" borderId="88" applyNumberFormat="0" applyAlignment="0" applyProtection="0"/>
    <xf numFmtId="0" fontId="123" fillId="50" borderId="88" applyNumberFormat="0" applyAlignment="0" applyProtection="0"/>
    <xf numFmtId="0" fontId="7" fillId="0" borderId="0"/>
    <xf numFmtId="0" fontId="174" fillId="0" borderId="0"/>
    <xf numFmtId="0" fontId="126" fillId="47" borderId="89" applyNumberFormat="0" applyAlignment="0" applyProtection="0"/>
    <xf numFmtId="0" fontId="126"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4"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4" fillId="0" borderId="0"/>
    <xf numFmtId="0" fontId="42" fillId="0" borderId="0"/>
    <xf numFmtId="0" fontId="7" fillId="0" borderId="0"/>
    <xf numFmtId="0" fontId="42" fillId="0" borderId="0"/>
    <xf numFmtId="0" fontId="42" fillId="0" borderId="0"/>
    <xf numFmtId="0" fontId="7" fillId="0" borderId="0"/>
    <xf numFmtId="0" fontId="7" fillId="0" borderId="0"/>
    <xf numFmtId="0" fontId="174" fillId="0" borderId="0"/>
    <xf numFmtId="0" fontId="7" fillId="0" borderId="0"/>
    <xf numFmtId="0" fontId="174"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79" fillId="0" borderId="0"/>
    <xf numFmtId="0" fontId="179"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0" fillId="0" borderId="0"/>
    <xf numFmtId="0" fontId="180" fillId="0" borderId="0"/>
    <xf numFmtId="0" fontId="5" fillId="0" borderId="0"/>
    <xf numFmtId="0" fontId="5"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182"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8" fillId="0" borderId="0" applyFont="0" applyFill="0" applyBorder="0" applyAlignment="0" applyProtection="0"/>
    <xf numFmtId="0" fontId="190" fillId="0" borderId="0"/>
    <xf numFmtId="0" fontId="43" fillId="0" borderId="97" applyNumberFormat="0" applyFont="0" applyBorder="0">
      <alignment horizontal="right"/>
    </xf>
    <xf numFmtId="0" fontId="194" fillId="0" borderId="0" applyFill="0"/>
    <xf numFmtId="0" fontId="42" fillId="0" borderId="0" applyNumberFormat="0" applyFont="0" applyBorder="0" applyAlignment="0"/>
    <xf numFmtId="0" fontId="195" fillId="0" borderId="0" applyFill="0">
      <alignment horizontal="left" indent="1"/>
    </xf>
    <xf numFmtId="44" fontId="190" fillId="0" borderId="0" applyFont="0" applyFill="0" applyBorder="0" applyAlignment="0" applyProtection="0"/>
    <xf numFmtId="43" fontId="190"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72">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1" fillId="0" borderId="0" xfId="2" applyNumberFormat="1" applyFont="1"/>
    <xf numFmtId="37" fontId="131" fillId="0" borderId="0" xfId="2" applyNumberFormat="1" applyFont="1" applyFill="1"/>
    <xf numFmtId="37" fontId="132" fillId="0" borderId="0" xfId="2" applyNumberFormat="1" applyFont="1" applyFill="1" applyAlignment="1"/>
    <xf numFmtId="37" fontId="132" fillId="0" borderId="0" xfId="2" applyNumberFormat="1" applyFont="1" applyAlignment="1"/>
    <xf numFmtId="0" fontId="130" fillId="0" borderId="0" xfId="2" applyFont="1" applyFill="1" applyBorder="1" applyAlignment="1">
      <alignment horizontal="center"/>
    </xf>
    <xf numFmtId="37" fontId="130" fillId="0" borderId="0" xfId="2" applyNumberFormat="1" applyFont="1" applyFill="1" applyAlignment="1"/>
    <xf numFmtId="37" fontId="129" fillId="0" borderId="0" xfId="2" applyNumberFormat="1" applyFont="1" applyBorder="1"/>
    <xf numFmtId="37" fontId="129" fillId="0" borderId="0" xfId="2" applyNumberFormat="1" applyFont="1" applyFill="1" applyBorder="1"/>
    <xf numFmtId="37" fontId="130"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6" fillId="0" borderId="0" xfId="2" applyNumberFormat="1" applyFont="1" applyBorder="1" applyAlignment="1"/>
    <xf numFmtId="170" fontId="136"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7"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39"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7" fillId="0" borderId="0" xfId="8" applyFont="1" applyAlignment="1">
      <alignment horizontal="center"/>
    </xf>
    <xf numFmtId="0" fontId="4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0"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0"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1"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0"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5"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17" quotePrefix="1" applyNumberFormat="1" applyFont="1" applyAlignment="1">
      <alignment horizontal="left"/>
    </xf>
    <xf numFmtId="164" fontId="61" fillId="0" borderId="0" xfId="0" applyFont="1"/>
    <xf numFmtId="164" fontId="44" fillId="0" borderId="0" xfId="0" applyFont="1"/>
    <xf numFmtId="0" fontId="138"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29"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2"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6" fillId="0" borderId="0" xfId="2" applyNumberFormat="1" applyFont="1" applyAlignment="1"/>
    <xf numFmtId="165" fontId="157" fillId="0" borderId="0" xfId="2" applyNumberFormat="1" applyFont="1" applyAlignment="1"/>
    <xf numFmtId="165" fontId="158" fillId="0" borderId="0" xfId="2" applyNumberFormat="1" applyFont="1" applyAlignment="1">
      <alignment horizontal="centerContinuous"/>
    </xf>
    <xf numFmtId="165" fontId="160" fillId="0" borderId="0" xfId="2" applyNumberFormat="1" applyFont="1" applyAlignment="1"/>
    <xf numFmtId="165" fontId="160"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59"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1"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2"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4"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6" fillId="0" borderId="0" xfId="0" applyNumberFormat="1" applyFont="1"/>
    <xf numFmtId="41" fontId="166" fillId="0" borderId="0" xfId="0" applyNumberFormat="1" applyFont="1" applyFill="1"/>
    <xf numFmtId="0" fontId="166" fillId="0" borderId="0" xfId="0" applyNumberFormat="1" applyFont="1" applyFill="1"/>
    <xf numFmtId="0" fontId="166" fillId="0" borderId="0" xfId="0" applyNumberFormat="1" applyFont="1" applyBorder="1" applyAlignment="1"/>
    <xf numFmtId="0" fontId="166" fillId="0" borderId="0" xfId="0" applyNumberFormat="1" applyFont="1" applyFill="1" applyAlignment="1"/>
    <xf numFmtId="0" fontId="166" fillId="0" borderId="0" xfId="0" applyNumberFormat="1" applyFont="1" applyBorder="1"/>
    <xf numFmtId="0" fontId="166"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2" fillId="0" borderId="0" xfId="2" applyNumberFormat="1" applyFont="1" applyFill="1" applyBorder="1" applyAlignment="1"/>
    <xf numFmtId="37" fontId="130"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3"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0"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0"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0"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59"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7" fillId="0" borderId="0" xfId="2" applyNumberFormat="1" applyFont="1" applyBorder="1" applyAlignment="1"/>
    <xf numFmtId="166" fontId="168" fillId="0" borderId="15" xfId="2" applyNumberFormat="1" applyFont="1" applyBorder="1" applyAlignment="1" applyProtection="1">
      <protection locked="0"/>
    </xf>
    <xf numFmtId="0" fontId="168" fillId="0" borderId="15" xfId="2" applyNumberFormat="1" applyFont="1" applyBorder="1" applyAlignment="1"/>
    <xf numFmtId="166" fontId="168" fillId="0" borderId="15" xfId="2" applyNumberFormat="1" applyFont="1" applyBorder="1" applyAlignment="1" applyProtection="1">
      <alignment horizontal="center"/>
      <protection locked="0"/>
    </xf>
    <xf numFmtId="166" fontId="168" fillId="0" borderId="15" xfId="2" quotePrefix="1" applyNumberFormat="1" applyFont="1" applyBorder="1" applyAlignment="1" applyProtection="1">
      <alignment horizontal="right"/>
      <protection locked="0"/>
    </xf>
    <xf numFmtId="166" fontId="168" fillId="0" borderId="15" xfId="2" applyNumberFormat="1" applyFont="1" applyBorder="1" applyAlignment="1"/>
    <xf numFmtId="166" fontId="167" fillId="0" borderId="15" xfId="2" applyNumberFormat="1" applyFont="1" applyBorder="1" applyAlignment="1"/>
    <xf numFmtId="169" fontId="168" fillId="0" borderId="15" xfId="2" applyNumberFormat="1" applyFont="1" applyBorder="1" applyAlignment="1"/>
    <xf numFmtId="0" fontId="168" fillId="0" borderId="0" xfId="2" applyNumberFormat="1" applyFont="1" applyAlignment="1"/>
    <xf numFmtId="0" fontId="168" fillId="0" borderId="0" xfId="2" applyNumberFormat="1" applyFont="1" applyBorder="1" applyAlignment="1"/>
    <xf numFmtId="165" fontId="168" fillId="0" borderId="0" xfId="2" applyNumberFormat="1" applyFont="1" applyAlignment="1"/>
    <xf numFmtId="166" fontId="168" fillId="0" borderId="0" xfId="2" applyNumberFormat="1" applyFont="1" applyAlignment="1"/>
    <xf numFmtId="165" fontId="167" fillId="0" borderId="0" xfId="2" applyNumberFormat="1" applyFont="1" applyAlignment="1">
      <alignment horizontal="center"/>
    </xf>
    <xf numFmtId="165" fontId="167" fillId="0" borderId="0" xfId="2" quotePrefix="1" applyNumberFormat="1" applyFont="1" applyAlignment="1">
      <alignment horizontal="center"/>
    </xf>
    <xf numFmtId="165" fontId="167" fillId="0" borderId="10" xfId="2" applyNumberFormat="1" applyFont="1" applyBorder="1" applyAlignment="1">
      <alignment horizontal="center"/>
    </xf>
    <xf numFmtId="165" fontId="167" fillId="0" borderId="0" xfId="2" applyNumberFormat="1" applyFont="1" applyBorder="1" applyAlignment="1">
      <alignment horizontal="center"/>
    </xf>
    <xf numFmtId="174" fontId="167" fillId="0" borderId="0" xfId="2" applyNumberFormat="1" applyFont="1" applyBorder="1" applyAlignment="1"/>
    <xf numFmtId="0" fontId="168" fillId="0" borderId="0" xfId="2" applyFont="1" applyBorder="1" applyAlignment="1"/>
    <xf numFmtId="166" fontId="168" fillId="0" borderId="0" xfId="2" applyNumberFormat="1" applyFont="1" applyBorder="1"/>
    <xf numFmtId="170" fontId="168" fillId="0" borderId="0" xfId="2" applyNumberFormat="1" applyFont="1" applyBorder="1" applyAlignment="1"/>
    <xf numFmtId="166" fontId="167" fillId="0" borderId="0" xfId="2" applyNumberFormat="1" applyFont="1" applyBorder="1" applyAlignment="1"/>
    <xf numFmtId="164" fontId="167" fillId="0" borderId="66" xfId="1940" applyNumberFormat="1" applyFont="1" applyBorder="1" applyAlignment="1"/>
    <xf numFmtId="164" fontId="168" fillId="0" borderId="0" xfId="1940" applyNumberFormat="1" applyFont="1" applyBorder="1" applyAlignment="1"/>
    <xf numFmtId="0" fontId="168" fillId="0" borderId="0" xfId="2" applyNumberFormat="1" applyFont="1" applyBorder="1" applyAlignment="1">
      <alignment horizontal="center"/>
    </xf>
    <xf numFmtId="164" fontId="168" fillId="0" borderId="0" xfId="1940" applyNumberFormat="1" applyFont="1" applyAlignment="1"/>
    <xf numFmtId="166" fontId="168" fillId="0" borderId="0" xfId="2" applyNumberFormat="1" applyFont="1" applyBorder="1" applyAlignment="1"/>
    <xf numFmtId="169" fontId="168" fillId="0" borderId="0" xfId="2" applyNumberFormat="1" applyFont="1" applyBorder="1" applyAlignment="1"/>
    <xf numFmtId="0" fontId="167" fillId="0" borderId="0" xfId="2" applyNumberFormat="1" applyFont="1" applyBorder="1" applyAlignment="1">
      <alignment horizontal="center"/>
    </xf>
    <xf numFmtId="164" fontId="167" fillId="0" borderId="17" xfId="1940" applyNumberFormat="1" applyFont="1" applyBorder="1" applyAlignment="1"/>
    <xf numFmtId="0" fontId="168" fillId="0" borderId="15" xfId="2" applyFont="1" applyBorder="1" applyAlignment="1" applyProtection="1">
      <protection locked="0"/>
    </xf>
    <xf numFmtId="0" fontId="167" fillId="0" borderId="0" xfId="2" applyNumberFormat="1" applyFont="1" applyAlignment="1">
      <alignment horizontal="right"/>
    </xf>
    <xf numFmtId="0" fontId="167" fillId="0" borderId="0" xfId="2" quotePrefix="1" applyNumberFormat="1" applyFont="1" applyBorder="1" applyAlignment="1">
      <alignment horizontal="left"/>
    </xf>
    <xf numFmtId="0" fontId="168" fillId="0" borderId="0" xfId="2" applyFont="1" applyAlignment="1"/>
    <xf numFmtId="170" fontId="168" fillId="0" borderId="0" xfId="2" quotePrefix="1" applyNumberFormat="1" applyFont="1" applyBorder="1" applyAlignment="1">
      <alignment horizontal="right"/>
    </xf>
    <xf numFmtId="170" fontId="167" fillId="0" borderId="0" xfId="2" quotePrefix="1" applyNumberFormat="1" applyFont="1" applyAlignment="1">
      <alignment horizontal="right"/>
    </xf>
    <xf numFmtId="170" fontId="168" fillId="0" borderId="0" xfId="2" applyNumberFormat="1" applyFont="1" applyAlignment="1"/>
    <xf numFmtId="170" fontId="168" fillId="0" borderId="0" xfId="2" quotePrefix="1" applyNumberFormat="1" applyFont="1" applyAlignment="1">
      <alignment horizontal="center"/>
    </xf>
    <xf numFmtId="170" fontId="167" fillId="0" borderId="0" xfId="2" quotePrefix="1" applyNumberFormat="1" applyFont="1" applyAlignment="1">
      <alignment horizontal="center"/>
    </xf>
    <xf numFmtId="170" fontId="167" fillId="0" borderId="0" xfId="2" quotePrefix="1" applyNumberFormat="1" applyFont="1" applyBorder="1" applyAlignment="1">
      <alignment horizontal="right"/>
    </xf>
    <xf numFmtId="170" fontId="167" fillId="0" borderId="0" xfId="2" quotePrefix="1" applyNumberFormat="1" applyFont="1" applyBorder="1" applyAlignment="1">
      <alignment horizontal="center"/>
    </xf>
    <xf numFmtId="170" fontId="167" fillId="0" borderId="0" xfId="2" applyNumberFormat="1" applyFont="1" applyAlignment="1">
      <alignment horizontal="right"/>
    </xf>
    <xf numFmtId="170" fontId="167" fillId="0" borderId="70" xfId="2" applyNumberFormat="1" applyFont="1" applyBorder="1" applyAlignment="1"/>
    <xf numFmtId="166" fontId="167" fillId="0" borderId="0" xfId="2" applyNumberFormat="1" applyFont="1" applyBorder="1" applyAlignment="1">
      <alignment horizontal="right"/>
    </xf>
    <xf numFmtId="164" fontId="167" fillId="0" borderId="70" xfId="1940" applyNumberFormat="1" applyFont="1" applyBorder="1" applyAlignment="1"/>
    <xf numFmtId="174" fontId="167" fillId="0" borderId="35" xfId="2" applyNumberFormat="1" applyFont="1" applyBorder="1" applyAlignment="1"/>
    <xf numFmtId="164" fontId="167" fillId="0" borderId="35" xfId="1940" applyNumberFormat="1" applyFont="1" applyBorder="1" applyAlignment="1"/>
    <xf numFmtId="166" fontId="169" fillId="0" borderId="0" xfId="2" applyNumberFormat="1" applyFont="1" applyAlignment="1">
      <alignment horizontal="center"/>
    </xf>
    <xf numFmtId="0" fontId="170"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29"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1" fillId="0" borderId="0" xfId="2" applyNumberFormat="1" applyFont="1" applyBorder="1"/>
    <xf numFmtId="37" fontId="65" fillId="0" borderId="0" xfId="2" applyNumberFormat="1" applyFont="1" applyBorder="1" applyAlignment="1"/>
    <xf numFmtId="37" fontId="132"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7" fillId="0" borderId="0" xfId="1940" applyNumberFormat="1" applyFont="1" applyAlignment="1"/>
    <xf numFmtId="10" fontId="42" fillId="0" borderId="0" xfId="2" applyNumberFormat="1" applyFont="1" applyAlignment="1"/>
    <xf numFmtId="0" fontId="171" fillId="0" borderId="0" xfId="861" applyNumberFormat="1" applyFont="1" applyAlignment="1" applyProtection="1"/>
    <xf numFmtId="0" fontId="171" fillId="0" borderId="0" xfId="860" applyNumberFormat="1" applyFont="1" applyAlignment="1"/>
    <xf numFmtId="0" fontId="172" fillId="0" borderId="0" xfId="860" applyNumberFormat="1" applyFont="1" applyAlignme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6"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4" fillId="0" borderId="0" xfId="2" applyNumberFormat="1" applyFont="1" applyFill="1" applyBorder="1"/>
    <xf numFmtId="174" fontId="165"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7"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0" fontId="138" fillId="0" borderId="0" xfId="8" applyFont="1" applyAlignment="1">
      <alignment horizontal="left"/>
    </xf>
    <xf numFmtId="0" fontId="138" fillId="0" borderId="0" xfId="8" applyFont="1"/>
    <xf numFmtId="0" fontId="37" fillId="0" borderId="0" xfId="8" applyFont="1"/>
    <xf numFmtId="0" fontId="37" fillId="0" borderId="0" xfId="8" applyFont="1" applyAlignment="1"/>
    <xf numFmtId="0" fontId="138"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1"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2"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3" fillId="0" borderId="0" xfId="2" applyNumberFormat="1" applyFont="1" applyBorder="1" applyAlignment="1"/>
    <xf numFmtId="174" fontId="183"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6"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6"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8" fillId="0" borderId="0" xfId="8" applyFont="1" applyFill="1" applyAlignment="1"/>
    <xf numFmtId="0" fontId="138"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4"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7" fillId="0" borderId="0" xfId="8" applyFont="1" applyFill="1" applyAlignment="1">
      <alignment horizontal="left"/>
    </xf>
    <xf numFmtId="0" fontId="113" fillId="0" borderId="0" xfId="8" quotePrefix="1" applyFont="1" applyFill="1" applyAlignment="1">
      <alignment horizontal="right"/>
    </xf>
    <xf numFmtId="0" fontId="146"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7"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7" fillId="0" borderId="0" xfId="2" quotePrefix="1" applyNumberFormat="1" applyFont="1" applyFill="1" applyBorder="1" applyAlignment="1">
      <alignment horizontal="right"/>
    </xf>
    <xf numFmtId="169" fontId="167" fillId="0" borderId="15" xfId="2" applyNumberFormat="1" applyFont="1" applyFill="1" applyBorder="1" applyAlignment="1" applyProtection="1">
      <alignment horizontal="right"/>
      <protection locked="0"/>
    </xf>
    <xf numFmtId="174" fontId="167" fillId="0" borderId="0" xfId="2" applyNumberFormat="1" applyFont="1" applyFill="1" applyBorder="1" applyAlignment="1"/>
    <xf numFmtId="0" fontId="168" fillId="0" borderId="0" xfId="2" applyNumberFormat="1" applyFont="1" applyFill="1" applyBorder="1" applyAlignment="1"/>
    <xf numFmtId="164" fontId="167"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8" fillId="0" borderId="0" xfId="2" quotePrefix="1" applyNumberFormat="1" applyFont="1" applyFill="1" applyBorder="1" applyAlignment="1">
      <alignment horizontal="right"/>
    </xf>
    <xf numFmtId="166" fontId="168" fillId="0" borderId="15" xfId="2" applyNumberFormat="1" applyFont="1" applyFill="1" applyBorder="1" applyAlignment="1" applyProtection="1">
      <protection locked="0"/>
    </xf>
    <xf numFmtId="170" fontId="61" fillId="0" borderId="0" xfId="2" applyNumberFormat="1" applyFont="1" applyFill="1" applyBorder="1" applyAlignment="1"/>
    <xf numFmtId="164" fontId="168" fillId="0" borderId="0" xfId="1940" applyNumberFormat="1" applyFont="1" applyFill="1" applyAlignment="1"/>
    <xf numFmtId="170" fontId="61" fillId="0" borderId="0" xfId="2" quotePrefix="1" applyNumberFormat="1" applyFont="1" applyFill="1" applyAlignment="1">
      <alignment horizontal="center"/>
    </xf>
    <xf numFmtId="170" fontId="168" fillId="0" borderId="0" xfId="2" quotePrefix="1" applyNumberFormat="1" applyFont="1" applyFill="1" applyBorder="1" applyAlignment="1"/>
    <xf numFmtId="170" fontId="168" fillId="0" borderId="0" xfId="2" quotePrefix="1" applyNumberFormat="1" applyFont="1" applyFill="1" applyAlignment="1"/>
    <xf numFmtId="0" fontId="168" fillId="0" borderId="15" xfId="2" applyNumberFormat="1" applyFont="1" applyFill="1" applyBorder="1" applyAlignment="1"/>
    <xf numFmtId="164" fontId="61" fillId="0" borderId="0" xfId="0" applyNumberFormat="1" applyFont="1" applyFill="1" applyBorder="1" applyAlignment="1" applyProtection="1"/>
    <xf numFmtId="170" fontId="168" fillId="0" borderId="0" xfId="2" quotePrefix="1" applyNumberFormat="1" applyFont="1" applyFill="1" applyAlignment="1">
      <alignment horizontal="center"/>
    </xf>
    <xf numFmtId="0" fontId="168" fillId="0" borderId="0" xfId="2" applyNumberFormat="1" applyFont="1" applyFill="1" applyBorder="1" applyAlignment="1">
      <alignment horizontal="center"/>
    </xf>
    <xf numFmtId="166" fontId="168" fillId="0" borderId="15" xfId="2" quotePrefix="1" applyNumberFormat="1" applyFont="1" applyFill="1" applyBorder="1" applyAlignment="1" applyProtection="1">
      <alignment horizontal="right"/>
      <protection locked="0"/>
    </xf>
    <xf numFmtId="166" fontId="168"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8"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8" fillId="0" borderId="66" xfId="2" applyNumberFormat="1" applyFont="1" applyFill="1" applyBorder="1" applyAlignment="1"/>
    <xf numFmtId="164" fontId="168"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8" fillId="0" borderId="15" xfId="2" applyNumberFormat="1" applyFont="1" applyFill="1" applyBorder="1" applyAlignment="1"/>
    <xf numFmtId="174" fontId="168" fillId="0" borderId="0" xfId="2" applyNumberFormat="1" applyFont="1" applyFill="1" applyBorder="1" applyAlignment="1"/>
    <xf numFmtId="169" fontId="168"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1"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4" fillId="0" borderId="0" xfId="2" applyNumberFormat="1" applyFont="1" applyFill="1" applyBorder="1"/>
    <xf numFmtId="170" fontId="165"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8" fillId="0" borderId="0" xfId="1940" applyNumberFormat="1" applyFont="1" applyFill="1" applyAlignment="1"/>
    <xf numFmtId="172" fontId="167"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6"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3" fillId="0" borderId="0" xfId="5458" applyNumberFormat="1" applyFont="1" applyFill="1"/>
    <xf numFmtId="0" fontId="153" fillId="0" borderId="0" xfId="5458" applyNumberFormat="1" applyFont="1" applyFill="1" applyBorder="1"/>
    <xf numFmtId="0" fontId="66" fillId="0" borderId="0" xfId="5458" applyNumberFormat="1" applyFont="1" applyFill="1"/>
    <xf numFmtId="0" fontId="154" fillId="0" borderId="0" xfId="5458" applyNumberFormat="1" applyFont="1" applyFill="1"/>
    <xf numFmtId="0" fontId="66" fillId="0" borderId="0" xfId="5458" applyNumberFormat="1" applyFont="1" applyFill="1" applyAlignment="1">
      <alignment horizontal="right" vertical="top"/>
    </xf>
    <xf numFmtId="0" fontId="154" fillId="0" borderId="0" xfId="5458" applyNumberFormat="1" applyFont="1" applyFill="1" applyBorder="1" applyAlignment="1">
      <alignment horizontal="right"/>
    </xf>
    <xf numFmtId="0" fontId="153" fillId="0" borderId="0" xfId="5458" applyNumberFormat="1" applyFont="1" applyFill="1" applyAlignment="1"/>
    <xf numFmtId="0" fontId="66" fillId="0" borderId="0" xfId="5458" applyNumberFormat="1" applyFont="1" applyFill="1" applyAlignment="1">
      <alignment horizontal="left" vertical="top"/>
    </xf>
    <xf numFmtId="0" fontId="154" fillId="0" borderId="0" xfId="5458" applyNumberFormat="1" applyFont="1" applyFill="1" applyAlignment="1">
      <alignment horizontal="left" vertical="top"/>
    </xf>
    <xf numFmtId="0" fontId="154" fillId="0" borderId="0" xfId="5458" applyNumberFormat="1" applyFont="1" applyFill="1" applyAlignment="1">
      <alignment horizontal="left"/>
    </xf>
    <xf numFmtId="0" fontId="153" fillId="0" borderId="0" xfId="5458" quotePrefix="1" applyNumberFormat="1" applyFont="1" applyFill="1" applyAlignment="1"/>
    <xf numFmtId="0" fontId="154" fillId="0" borderId="0" xfId="5458" applyNumberFormat="1" applyFont="1" applyFill="1" applyAlignment="1">
      <alignment horizontal="center" vertical="top"/>
    </xf>
    <xf numFmtId="0" fontId="154" fillId="0" borderId="0" xfId="5458" applyNumberFormat="1" applyFont="1" applyFill="1" applyAlignment="1">
      <alignment horizontal="center"/>
    </xf>
    <xf numFmtId="0" fontId="154" fillId="0" borderId="0" xfId="5458" quotePrefix="1" applyNumberFormat="1" applyFont="1" applyFill="1" applyAlignment="1">
      <alignment horizontal="center"/>
    </xf>
    <xf numFmtId="0" fontId="154" fillId="0" borderId="66" xfId="5458" applyNumberFormat="1" applyFont="1" applyFill="1" applyBorder="1" applyAlignment="1">
      <alignment horizontal="centerContinuous"/>
    </xf>
    <xf numFmtId="0" fontId="154" fillId="0" borderId="0" xfId="5458" applyNumberFormat="1" applyFont="1" applyFill="1" applyAlignment="1">
      <alignment horizontal="centerContinuous"/>
    </xf>
    <xf numFmtId="0" fontId="154" fillId="0" borderId="0" xfId="5458" applyNumberFormat="1" applyFont="1" applyFill="1" applyBorder="1" applyAlignment="1">
      <alignment horizontal="center"/>
    </xf>
    <xf numFmtId="0" fontId="154" fillId="0" borderId="66" xfId="5458" applyNumberFormat="1" applyFont="1" applyFill="1" applyBorder="1"/>
    <xf numFmtId="0" fontId="154" fillId="0" borderId="0" xfId="5458" applyNumberFormat="1" applyFont="1" applyFill="1" applyBorder="1"/>
    <xf numFmtId="0" fontId="154" fillId="0" borderId="66" xfId="5458" quotePrefix="1" applyNumberFormat="1" applyFont="1" applyFill="1" applyBorder="1" applyAlignment="1">
      <alignment horizontal="center"/>
    </xf>
    <xf numFmtId="49" fontId="154" fillId="0" borderId="66" xfId="5458" applyNumberFormat="1" applyFont="1" applyFill="1" applyBorder="1" applyAlignment="1">
      <alignment horizontal="center"/>
    </xf>
    <xf numFmtId="49" fontId="154" fillId="0" borderId="66" xfId="5458" quotePrefix="1" applyNumberFormat="1" applyFont="1" applyFill="1" applyBorder="1" applyAlignment="1">
      <alignment horizontal="center"/>
    </xf>
    <xf numFmtId="0" fontId="154" fillId="0" borderId="107" xfId="5458" applyNumberFormat="1" applyFont="1" applyFill="1" applyBorder="1" applyAlignment="1">
      <alignment horizontal="center"/>
    </xf>
    <xf numFmtId="0" fontId="154" fillId="0" borderId="66" xfId="5458" applyNumberFormat="1" applyFont="1" applyFill="1" applyBorder="1" applyAlignment="1">
      <alignment horizontal="center"/>
    </xf>
    <xf numFmtId="39" fontId="153" fillId="0" borderId="0" xfId="5458" quotePrefix="1" applyNumberFormat="1" applyFont="1" applyFill="1" applyBorder="1" applyAlignment="1"/>
    <xf numFmtId="39" fontId="155" fillId="0" borderId="0" xfId="5458" quotePrefix="1" applyNumberFormat="1" applyFont="1" applyFill="1" applyBorder="1" applyAlignment="1"/>
    <xf numFmtId="39" fontId="153" fillId="0" borderId="0" xfId="5458" applyNumberFormat="1" applyFont="1" applyFill="1" applyBorder="1" applyAlignment="1"/>
    <xf numFmtId="0" fontId="155" fillId="0" borderId="0" xfId="5458" applyNumberFormat="1" applyFont="1" applyFill="1" applyBorder="1" applyAlignment="1"/>
    <xf numFmtId="0" fontId="153" fillId="0" borderId="0" xfId="5458" applyNumberFormat="1" applyFont="1" applyFill="1" applyBorder="1" applyAlignment="1"/>
    <xf numFmtId="42" fontId="155" fillId="0" borderId="0" xfId="5458" applyNumberFormat="1" applyFont="1" applyFill="1" applyBorder="1" applyAlignment="1">
      <alignment horizontal="right"/>
    </xf>
    <xf numFmtId="42" fontId="155" fillId="0" borderId="0" xfId="5458" applyNumberFormat="1" applyFont="1" applyFill="1" applyAlignment="1">
      <alignment horizontal="right"/>
    </xf>
    <xf numFmtId="42" fontId="155" fillId="0" borderId="0" xfId="5458" applyNumberFormat="1" applyFont="1" applyFill="1" applyAlignment="1">
      <alignment horizontal="right" vertical="top"/>
    </xf>
    <xf numFmtId="41" fontId="155" fillId="0" borderId="0" xfId="5458" applyNumberFormat="1" applyFont="1" applyFill="1" applyAlignment="1">
      <alignment horizontal="center"/>
    </xf>
    <xf numFmtId="41" fontId="155" fillId="0" borderId="0" xfId="5458" applyNumberFormat="1" applyFont="1" applyFill="1" applyAlignment="1">
      <alignment horizontal="right"/>
    </xf>
    <xf numFmtId="0" fontId="155" fillId="0" borderId="0" xfId="5458" applyNumberFormat="1" applyFont="1" applyFill="1" applyAlignment="1">
      <alignment horizontal="right"/>
    </xf>
    <xf numFmtId="41" fontId="153" fillId="0" borderId="0" xfId="5458" applyNumberFormat="1" applyFont="1" applyFill="1" applyAlignment="1">
      <alignment horizontal="right"/>
    </xf>
    <xf numFmtId="41" fontId="153" fillId="0" borderId="0" xfId="5458" applyNumberFormat="1" applyFont="1" applyFill="1" applyBorder="1" applyAlignment="1">
      <alignment horizontal="right"/>
    </xf>
    <xf numFmtId="41" fontId="155" fillId="0" borderId="0" xfId="5458" applyNumberFormat="1" applyFont="1" applyFill="1" applyAlignment="1"/>
    <xf numFmtId="0" fontId="153" fillId="0" borderId="0" xfId="5458" quotePrefix="1" applyNumberFormat="1" applyFont="1" applyFill="1" applyAlignment="1">
      <alignment horizontal="left" vertical="top"/>
    </xf>
    <xf numFmtId="0" fontId="153"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5" fillId="0" borderId="0" xfId="5458" applyNumberFormat="1" applyFont="1" applyFill="1" applyAlignment="1"/>
    <xf numFmtId="0" fontId="37" fillId="0" borderId="0" xfId="5458" applyNumberFormat="1" applyAlignment="1"/>
    <xf numFmtId="0" fontId="154" fillId="0" borderId="0" xfId="5458" quotePrefix="1" applyNumberFormat="1" applyFont="1" applyFill="1" applyAlignment="1">
      <alignment horizontal="left" vertical="top"/>
    </xf>
    <xf numFmtId="42" fontId="154" fillId="0" borderId="87" xfId="5458" applyNumberFormat="1" applyFont="1" applyFill="1" applyBorder="1" applyAlignment="1">
      <alignment horizontal="right" vertical="top"/>
    </xf>
    <xf numFmtId="42" fontId="154" fillId="0" borderId="0" xfId="5458" applyNumberFormat="1" applyFont="1" applyFill="1" applyAlignment="1">
      <alignment horizontal="right" vertical="top"/>
    </xf>
    <xf numFmtId="42" fontId="154" fillId="0" borderId="0" xfId="5458" applyNumberFormat="1" applyFont="1" applyFill="1" applyAlignment="1">
      <alignment horizontal="right"/>
    </xf>
    <xf numFmtId="0" fontId="153" fillId="0" borderId="0" xfId="5458" quotePrefix="1" applyNumberFormat="1" applyFont="1" applyFill="1"/>
    <xf numFmtId="37" fontId="153"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2" fillId="0" borderId="0" xfId="2" applyNumberFormat="1" applyFont="1" applyBorder="1" applyAlignment="1"/>
    <xf numFmtId="165" fontId="187"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7"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7" fillId="0" borderId="66" xfId="2" applyNumberFormat="1" applyFont="1" applyBorder="1" applyAlignment="1"/>
    <xf numFmtId="172" fontId="167"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6"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2"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7" fillId="0" borderId="15" xfId="2" applyNumberFormat="1" applyFont="1" applyFill="1" applyBorder="1" applyAlignment="1"/>
    <xf numFmtId="174" fontId="66" fillId="0" borderId="0" xfId="2" applyNumberFormat="1" applyFont="1" applyFill="1" applyBorder="1" applyAlignment="1"/>
    <xf numFmtId="169" fontId="168"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65" fontId="37" fillId="0" borderId="0" xfId="0" applyNumberFormat="1" applyFont="1" applyAlignment="1" applyProtection="1"/>
    <xf numFmtId="165" fontId="40" fillId="0" borderId="0" xfId="0" applyNumberFormat="1" applyFont="1" applyAlignment="1" applyProtection="1"/>
    <xf numFmtId="165" fontId="142"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2" fillId="0" borderId="0" xfId="0" applyNumberFormat="1" applyFont="1" applyAlignment="1" applyProtection="1"/>
    <xf numFmtId="166" fontId="143"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29"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2" fillId="0" borderId="0" xfId="0" applyNumberFormat="1" applyFont="1" applyBorder="1" applyAlignment="1" applyProtection="1"/>
    <xf numFmtId="166" fontId="40" fillId="0" borderId="0" xfId="0" applyNumberFormat="1" applyFont="1" applyBorder="1" applyAlignment="1" applyProtection="1"/>
    <xf numFmtId="166" fontId="142"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2" fillId="0" borderId="0" xfId="0" applyNumberFormat="1" applyFont="1" applyBorder="1" applyAlignment="1" applyProtection="1"/>
    <xf numFmtId="165" fontId="142"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4" fillId="0" borderId="0" xfId="0" applyNumberFormat="1" applyFont="1" applyBorder="1" applyAlignment="1" applyProtection="1"/>
    <xf numFmtId="165" fontId="46" fillId="0" borderId="0" xfId="0" applyNumberFormat="1" applyFont="1" applyBorder="1" applyAlignment="1" applyProtection="1"/>
    <xf numFmtId="165" fontId="129"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7"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0" fillId="0" borderId="0" xfId="2" applyNumberFormat="1" applyFont="1" applyFill="1" applyAlignment="1" applyProtection="1"/>
    <xf numFmtId="165" fontId="160"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4"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6" fillId="0" borderId="0" xfId="2" applyNumberFormat="1" applyFont="1" applyAlignment="1" applyProtection="1"/>
    <xf numFmtId="170" fontId="136"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5"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6"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8" fillId="0" borderId="66" xfId="2"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6"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89"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4" fillId="0" borderId="96" xfId="2" applyNumberFormat="1" applyFont="1" applyFill="1" applyBorder="1" applyAlignment="1"/>
    <xf numFmtId="174" fontId="164" fillId="0" borderId="0" xfId="2" applyNumberFormat="1" applyFont="1" applyFill="1" applyBorder="1" applyAlignment="1"/>
    <xf numFmtId="170" fontId="0" fillId="0" borderId="0" xfId="2" applyNumberFormat="1" applyFont="1" applyFill="1"/>
    <xf numFmtId="170" fontId="164" fillId="0" borderId="18" xfId="2" applyNumberFormat="1" applyFont="1" applyFill="1" applyBorder="1" applyAlignment="1"/>
    <xf numFmtId="174" fontId="164"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8" fillId="0" borderId="0" xfId="2" applyNumberFormat="1" applyFont="1" applyFill="1" applyAlignment="1"/>
    <xf numFmtId="0" fontId="52" fillId="0" borderId="0" xfId="2" applyNumberFormat="1" applyFont="1" applyFill="1" applyAlignment="1">
      <alignment horizontal="right"/>
    </xf>
    <xf numFmtId="165" fontId="168" fillId="0" borderId="0" xfId="2" applyNumberFormat="1" applyFont="1" applyFill="1" applyAlignment="1"/>
    <xf numFmtId="166" fontId="168" fillId="0" borderId="0" xfId="2" applyNumberFormat="1" applyFont="1" applyFill="1" applyAlignment="1"/>
    <xf numFmtId="0" fontId="66" fillId="0" borderId="0" xfId="2" quotePrefix="1" applyNumberFormat="1" applyFont="1" applyFill="1" applyBorder="1" applyAlignment="1">
      <alignment horizontal="left"/>
    </xf>
    <xf numFmtId="0" fontId="167" fillId="0" borderId="0" xfId="2" applyNumberFormat="1" applyFont="1" applyFill="1" applyBorder="1" applyAlignment="1"/>
    <xf numFmtId="174" fontId="66" fillId="0" borderId="0" xfId="2" quotePrefix="1" applyNumberFormat="1" applyFont="1" applyFill="1" applyBorder="1" applyAlignment="1">
      <alignment horizontal="right"/>
    </xf>
    <xf numFmtId="169" fontId="167" fillId="0" borderId="0" xfId="2" applyNumberFormat="1" applyFont="1" applyFill="1" applyBorder="1" applyAlignment="1" applyProtection="1">
      <alignment horizontal="right"/>
      <protection locked="0"/>
    </xf>
    <xf numFmtId="165" fontId="167" fillId="0" borderId="0" xfId="2" applyNumberFormat="1" applyFont="1" applyFill="1" applyAlignment="1">
      <alignment horizontal="center"/>
    </xf>
    <xf numFmtId="0" fontId="61" fillId="0" borderId="0" xfId="2" applyFont="1" applyFill="1" applyAlignment="1"/>
    <xf numFmtId="0" fontId="168" fillId="0" borderId="0" xfId="2" applyFont="1" applyFill="1" applyBorder="1" applyAlignment="1" applyProtection="1">
      <protection locked="0"/>
    </xf>
    <xf numFmtId="165" fontId="167"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8" fillId="0" borderId="0" xfId="2" applyFont="1" applyFill="1" applyBorder="1" applyAlignment="1"/>
    <xf numFmtId="170" fontId="168" fillId="0" borderId="0" xfId="1" applyNumberFormat="1" applyFont="1" applyFill="1" applyAlignment="1">
      <alignment horizontal="center"/>
    </xf>
    <xf numFmtId="170" fontId="168" fillId="0" borderId="66" xfId="1" applyNumberFormat="1" applyFont="1" applyFill="1" applyBorder="1" applyAlignment="1">
      <alignment horizontal="center"/>
    </xf>
    <xf numFmtId="170" fontId="79" fillId="0" borderId="0" xfId="2" applyNumberFormat="1" applyFont="1" applyFill="1" applyAlignment="1"/>
    <xf numFmtId="170" fontId="167"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7"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7" fillId="0" borderId="0" xfId="2" applyNumberFormat="1" applyFont="1" applyFill="1" applyBorder="1" applyAlignment="1">
      <alignment horizontal="center"/>
    </xf>
    <xf numFmtId="0" fontId="168"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2"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7" fillId="0" borderId="0" xfId="2" applyNumberFormat="1" applyFont="1" applyFill="1" applyAlignment="1">
      <alignment horizontal="center"/>
    </xf>
    <xf numFmtId="174" fontId="167" fillId="0" borderId="20" xfId="2" quotePrefix="1" applyNumberFormat="1" applyFont="1" applyFill="1" applyBorder="1" applyAlignment="1">
      <alignment horizontal="right"/>
    </xf>
    <xf numFmtId="174" fontId="167" fillId="0" borderId="24" xfId="2" applyNumberFormat="1" applyFont="1" applyFill="1" applyBorder="1" applyAlignment="1" applyProtection="1">
      <protection locked="0"/>
    </xf>
    <xf numFmtId="174" fontId="167"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8" fillId="0" borderId="0" xfId="2" applyFont="1" applyFill="1" applyAlignment="1"/>
    <xf numFmtId="0" fontId="168" fillId="0" borderId="24" xfId="2" applyFont="1" applyFill="1" applyBorder="1" applyAlignment="1" applyProtection="1">
      <protection locked="0"/>
    </xf>
    <xf numFmtId="0" fontId="168"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7"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8" fillId="0" borderId="0" xfId="2" applyNumberFormat="1" applyFont="1" applyFill="1" applyAlignment="1"/>
    <xf numFmtId="170" fontId="66" fillId="0" borderId="33" xfId="2" quotePrefix="1" applyNumberFormat="1" applyFont="1" applyFill="1" applyBorder="1" applyAlignment="1">
      <alignment horizontal="center"/>
    </xf>
    <xf numFmtId="170" fontId="167" fillId="0" borderId="0" xfId="2" quotePrefix="1" applyNumberFormat="1" applyFont="1" applyFill="1" applyAlignment="1">
      <alignment horizontal="center"/>
    </xf>
    <xf numFmtId="170" fontId="167" fillId="0" borderId="0" xfId="2" quotePrefix="1" applyNumberFormat="1" applyFont="1" applyFill="1" applyBorder="1" applyAlignment="1">
      <alignment horizontal="right"/>
    </xf>
    <xf numFmtId="170" fontId="167" fillId="0" borderId="0" xfId="2" applyNumberFormat="1" applyFont="1" applyFill="1" applyBorder="1" applyAlignment="1"/>
    <xf numFmtId="166" fontId="168" fillId="0" borderId="36" xfId="2" applyNumberFormat="1" applyFont="1" applyFill="1" applyBorder="1" applyAlignment="1"/>
    <xf numFmtId="166" fontId="168"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7" fillId="0" borderId="0" xfId="2" quotePrefix="1" applyNumberFormat="1" applyFont="1" applyFill="1" applyBorder="1" applyAlignment="1">
      <alignment horizontal="left"/>
    </xf>
    <xf numFmtId="170" fontId="167" fillId="0" borderId="70" xfId="2" applyNumberFormat="1" applyFont="1" applyFill="1" applyBorder="1" applyAlignment="1"/>
    <xf numFmtId="170" fontId="167" fillId="0" borderId="0" xfId="2" quotePrefix="1" applyNumberFormat="1" applyFont="1" applyFill="1" applyBorder="1" applyAlignment="1">
      <alignment horizontal="center"/>
    </xf>
    <xf numFmtId="170" fontId="167" fillId="0" borderId="0" xfId="2" applyNumberFormat="1" applyFont="1" applyFill="1" applyAlignment="1">
      <alignment horizontal="right"/>
    </xf>
    <xf numFmtId="174" fontId="167"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6"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3"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2" fillId="0" borderId="0" xfId="0" applyNumberFormat="1" applyFont="1" applyFill="1" applyAlignment="1" applyProtection="1"/>
    <xf numFmtId="166" fontId="132" fillId="0" borderId="0" xfId="0" applyNumberFormat="1" applyFont="1" applyFill="1" applyAlignment="1" applyProtection="1"/>
    <xf numFmtId="166" fontId="129" fillId="0" borderId="0" xfId="0" applyNumberFormat="1" applyFont="1" applyFill="1" applyBorder="1" applyAlignment="1" applyProtection="1"/>
    <xf numFmtId="174" fontId="37" fillId="0" borderId="0" xfId="2" applyNumberFormat="1" applyFont="1" applyFill="1" applyBorder="1" applyAlignment="1" applyProtection="1"/>
    <xf numFmtId="165" fontId="132"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7"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4"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5" fillId="0" borderId="0" xfId="5488" applyNumberFormat="1" applyFont="1" applyFill="1" applyAlignment="1">
      <alignment horizontal="right"/>
    </xf>
    <xf numFmtId="42" fontId="153" fillId="0" borderId="0" xfId="5458" applyNumberFormat="1" applyFont="1" applyFill="1" applyBorder="1" applyAlignment="1">
      <alignment horizontal="right"/>
    </xf>
    <xf numFmtId="41" fontId="155"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2"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3"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69" fillId="0" borderId="0" xfId="2" applyNumberFormat="1" applyFont="1" applyAlignment="1"/>
    <xf numFmtId="166" fontId="169" fillId="0" borderId="0" xfId="2" quotePrefix="1" applyNumberFormat="1" applyFont="1" applyAlignment="1">
      <alignment horizontal="left"/>
    </xf>
    <xf numFmtId="0" fontId="169" fillId="0" borderId="0" xfId="2" applyNumberFormat="1" applyFont="1" applyAlignment="1"/>
    <xf numFmtId="0" fontId="169"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2" fontId="44" fillId="0" borderId="10" xfId="2" applyNumberFormat="1" applyFont="1" applyFill="1" applyBorder="1" applyAlignment="1" applyProtection="1">
      <alignment horizontal="right"/>
    </xf>
    <xf numFmtId="164" fontId="168"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6" fillId="0" borderId="0" xfId="0" applyNumberFormat="1" applyFont="1"/>
    <xf numFmtId="49" fontId="110" fillId="0" borderId="0" xfId="0" applyNumberFormat="1" applyFont="1"/>
    <xf numFmtId="0" fontId="166" fillId="0" borderId="0" xfId="0" applyNumberFormat="1" applyFont="1" applyFill="1" applyAlignment="1">
      <alignment horizontal="left"/>
    </xf>
    <xf numFmtId="0" fontId="166" fillId="0" borderId="0" xfId="0" applyNumberFormat="1" applyFont="1" applyFill="1" applyAlignment="1">
      <alignment vertical="top"/>
    </xf>
    <xf numFmtId="0" fontId="42" fillId="0" borderId="0" xfId="0" applyNumberFormat="1" applyFont="1" applyBorder="1" applyAlignment="1">
      <alignment horizontal="left"/>
    </xf>
    <xf numFmtId="43" fontId="166"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6" fillId="0" borderId="0" xfId="0" applyNumberFormat="1" applyFont="1" applyBorder="1" applyAlignment="1">
      <alignment vertical="top" wrapText="1"/>
    </xf>
    <xf numFmtId="43" fontId="166" fillId="0" borderId="0" xfId="0" applyNumberFormat="1" applyFont="1" applyBorder="1"/>
    <xf numFmtId="172" fontId="185"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170" fontId="37" fillId="0" borderId="0" xfId="0" applyNumberFormat="1" applyFont="1" applyAlignment="1">
      <alignment horizontal="right"/>
    </xf>
    <xf numFmtId="0" fontId="190" fillId="0" borderId="0" xfId="25863" applyFill="1"/>
    <xf numFmtId="0" fontId="192" fillId="0" borderId="0" xfId="25863" applyFont="1" applyFill="1" applyAlignment="1">
      <alignment horizontal="left"/>
    </xf>
    <xf numFmtId="0" fontId="192" fillId="0" borderId="0" xfId="25863" applyFont="1" applyFill="1" applyBorder="1" applyAlignment="1">
      <alignment horizontal="left"/>
    </xf>
    <xf numFmtId="7" fontId="190" fillId="0" borderId="0" xfId="25863" applyNumberFormat="1" applyFill="1"/>
    <xf numFmtId="0" fontId="196"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43" fontId="164" fillId="0" borderId="0" xfId="25873" applyNumberFormat="1" applyFont="1" applyFill="1" applyBorder="1"/>
    <xf numFmtId="43" fontId="164" fillId="0" borderId="0" xfId="25876" applyNumberFormat="1" applyFont="1" applyFill="1" applyAlignment="1">
      <alignment horizontal="right"/>
    </xf>
    <xf numFmtId="43" fontId="164" fillId="0" borderId="0" xfId="25876" applyNumberFormat="1" applyFont="1" applyFill="1" applyBorder="1" applyAlignment="1"/>
    <xf numFmtId="43" fontId="164"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7"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4" fillId="0" borderId="0" xfId="1767" applyNumberFormat="1" applyFont="1" applyFill="1" applyAlignment="1">
      <alignment horizontal="left"/>
    </xf>
    <xf numFmtId="10" fontId="168" fillId="0" borderId="0" xfId="2" applyNumberFormat="1" applyFont="1" applyBorder="1" applyAlignment="1"/>
    <xf numFmtId="10" fontId="168" fillId="0" borderId="0" xfId="1940" applyNumberFormat="1" applyFont="1" applyBorder="1" applyAlignment="1"/>
    <xf numFmtId="10" fontId="168" fillId="0" borderId="0" xfId="1940" applyNumberFormat="1" applyFont="1" applyFill="1" applyBorder="1" applyAlignment="1"/>
    <xf numFmtId="10" fontId="168" fillId="0" borderId="0" xfId="2" applyNumberFormat="1" applyFont="1" applyAlignment="1" applyProtection="1"/>
    <xf numFmtId="10" fontId="168" fillId="0" borderId="0" xfId="2" applyNumberFormat="1" applyFont="1" applyAlignment="1"/>
    <xf numFmtId="200" fontId="167" fillId="0" borderId="66" xfId="1940" applyNumberFormat="1" applyFont="1" applyBorder="1" applyAlignment="1"/>
    <xf numFmtId="200" fontId="168"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6"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4"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7"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59"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4"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39" fillId="0" borderId="28" xfId="2" applyNumberFormat="1" applyFont="1" applyFill="1" applyBorder="1" applyAlignment="1" applyProtection="1"/>
    <xf numFmtId="172" fontId="168"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2"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59"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4"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8" fillId="0" borderId="24" xfId="2" applyNumberFormat="1" applyFont="1" applyFill="1" applyBorder="1" applyAlignment="1" applyProtection="1">
      <protection locked="0"/>
    </xf>
    <xf numFmtId="170" fontId="168" fillId="0" borderId="0" xfId="2" applyNumberFormat="1" applyFont="1" applyFill="1" applyAlignment="1" applyProtection="1">
      <protection locked="0"/>
    </xf>
    <xf numFmtId="170" fontId="167" fillId="0" borderId="24" xfId="2" applyNumberFormat="1" applyFont="1" applyFill="1" applyBorder="1" applyAlignment="1" applyProtection="1">
      <protection locked="0"/>
    </xf>
    <xf numFmtId="170" fontId="167" fillId="0" borderId="21" xfId="2" applyNumberFormat="1" applyFont="1" applyFill="1" applyBorder="1" applyAlignment="1" applyProtection="1">
      <protection locked="0"/>
    </xf>
    <xf numFmtId="170" fontId="168" fillId="0" borderId="20" xfId="2" applyNumberFormat="1" applyFont="1" applyFill="1" applyBorder="1" applyAlignment="1"/>
    <xf numFmtId="170" fontId="168" fillId="0" borderId="0" xfId="2" applyNumberFormat="1" applyFont="1" applyFill="1" applyBorder="1" applyAlignment="1" applyProtection="1">
      <protection locked="0"/>
    </xf>
    <xf numFmtId="170" fontId="168" fillId="0" borderId="24" xfId="2" applyNumberFormat="1" applyFont="1" applyFill="1" applyBorder="1" applyAlignment="1" applyProtection="1">
      <alignment horizontal="center"/>
      <protection locked="0"/>
    </xf>
    <xf numFmtId="170" fontId="168"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7" fillId="0" borderId="10" xfId="2" quotePrefix="1" applyNumberFormat="1" applyFont="1" applyFill="1" applyBorder="1" applyAlignment="1">
      <alignment horizontal="right"/>
    </xf>
    <xf numFmtId="170" fontId="167" fillId="0" borderId="0" xfId="2" applyNumberFormat="1" applyFont="1" applyFill="1" applyBorder="1" applyAlignment="1" applyProtection="1">
      <protection locked="0"/>
    </xf>
    <xf numFmtId="170" fontId="168" fillId="0" borderId="24" xfId="2" applyNumberFormat="1" applyFont="1" applyFill="1" applyBorder="1" applyAlignment="1">
      <alignment horizontal="center"/>
    </xf>
    <xf numFmtId="170" fontId="168" fillId="0" borderId="0" xfId="2" applyNumberFormat="1" applyFont="1" applyFill="1" applyBorder="1" applyAlignment="1">
      <alignment horizontal="center"/>
    </xf>
    <xf numFmtId="170" fontId="167" fillId="0" borderId="20" xfId="2" quotePrefix="1" applyNumberFormat="1" applyFont="1" applyFill="1" applyBorder="1" applyAlignment="1">
      <alignment horizontal="center"/>
    </xf>
    <xf numFmtId="170" fontId="167" fillId="0" borderId="24" xfId="2" applyNumberFormat="1" applyFont="1" applyFill="1" applyBorder="1" applyAlignment="1" applyProtection="1">
      <alignment horizontal="right"/>
      <protection locked="0"/>
    </xf>
    <xf numFmtId="170" fontId="167" fillId="0" borderId="0" xfId="2" applyNumberFormat="1" applyFont="1" applyFill="1" applyBorder="1" applyAlignment="1" applyProtection="1">
      <alignment horizontal="right"/>
      <protection locked="0"/>
    </xf>
    <xf numFmtId="170" fontId="167" fillId="0" borderId="18" xfId="2" applyNumberFormat="1" applyFont="1" applyFill="1" applyBorder="1" applyAlignment="1"/>
    <xf numFmtId="174" fontId="167" fillId="0" borderId="20" xfId="2" applyNumberFormat="1" applyFont="1" applyFill="1" applyBorder="1" applyAlignment="1"/>
    <xf numFmtId="174" fontId="167"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198" fillId="0" borderId="0" xfId="25863" applyFont="1" applyFill="1" applyBorder="1" applyAlignment="1">
      <alignment horizontal="left"/>
    </xf>
    <xf numFmtId="7" fontId="37" fillId="0" borderId="0" xfId="25863" applyNumberFormat="1" applyFont="1" applyFill="1"/>
    <xf numFmtId="0" fontId="147"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7"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8" fontId="37" fillId="0" borderId="0" xfId="2" applyNumberFormat="1" applyFont="1" applyBorder="1" applyAlignment="1" applyProtection="1"/>
    <xf numFmtId="43" fontId="166"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6"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1" fillId="0" borderId="0" xfId="25863" applyFont="1" applyFill="1" applyBorder="1" applyAlignment="1">
      <alignment horizontal="left"/>
    </xf>
    <xf numFmtId="0" fontId="191" fillId="0" borderId="0" xfId="25863" applyFont="1" applyFill="1" applyAlignment="1">
      <alignment horizontal="left"/>
    </xf>
    <xf numFmtId="0" fontId="38" fillId="0" borderId="0" xfId="25863" quotePrefix="1" applyNumberFormat="1" applyFont="1" applyFill="1" applyAlignment="1">
      <alignment horizontal="left"/>
    </xf>
    <xf numFmtId="0" fontId="147" fillId="0" borderId="0" xfId="25863" applyFont="1" applyFill="1" applyBorder="1" applyAlignment="1">
      <alignment horizontal="left"/>
    </xf>
    <xf numFmtId="0" fontId="44" fillId="0" borderId="0" xfId="25865" applyFont="1" applyFill="1"/>
    <xf numFmtId="37" fontId="147"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4"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6" fillId="0" borderId="0" xfId="25872" applyFont="1" applyFill="1" applyBorder="1" applyAlignment="1">
      <alignment horizontal="left" wrapText="1"/>
    </xf>
    <xf numFmtId="0" fontId="147"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2"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6" fillId="0" borderId="0" xfId="25863" applyFont="1" applyFill="1" applyBorder="1" applyAlignment="1">
      <alignment horizontal="left" vertical="top"/>
    </xf>
    <xf numFmtId="43" fontId="164" fillId="0" borderId="0" xfId="25872" applyNumberFormat="1" applyFont="1" applyFill="1" applyBorder="1" applyAlignment="1">
      <alignment horizontal="left"/>
    </xf>
    <xf numFmtId="44" fontId="164"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4" fillId="0" borderId="0" xfId="25873" applyNumberFormat="1" applyFont="1" applyFill="1" applyBorder="1" applyAlignment="1">
      <alignment horizontal="left"/>
    </xf>
    <xf numFmtId="43" fontId="164" fillId="0" borderId="0" xfId="25872" applyNumberFormat="1" applyFont="1" applyFill="1" applyBorder="1"/>
    <xf numFmtId="0" fontId="166"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0"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0" fillId="0" borderId="0" xfId="25863" applyNumberFormat="1" applyFill="1"/>
    <xf numFmtId="0" fontId="193" fillId="0" borderId="0" xfId="25863" quotePrefix="1" applyNumberFormat="1" applyFont="1" applyFill="1" applyAlignment="1">
      <alignment horizontal="left"/>
    </xf>
    <xf numFmtId="0" fontId="48" fillId="0" borderId="0" xfId="25863" applyFont="1" applyFill="1" applyBorder="1" applyAlignment="1">
      <alignment horizontal="left"/>
    </xf>
    <xf numFmtId="0" fontId="199" fillId="0" borderId="0" xfId="25863" applyFont="1" applyFill="1" applyBorder="1" applyAlignment="1">
      <alignment horizontal="center"/>
    </xf>
    <xf numFmtId="43" fontId="0" fillId="0" borderId="0" xfId="25864" applyNumberFormat="1" applyFont="1" applyFill="1" applyBorder="1">
      <alignment horizontal="right"/>
    </xf>
    <xf numFmtId="0" fontId="198" fillId="0" borderId="0" xfId="25863" applyFont="1" applyFill="1" applyBorder="1"/>
    <xf numFmtId="44" fontId="37" fillId="0" borderId="0" xfId="0" applyNumberFormat="1" applyFont="1" applyFill="1"/>
    <xf numFmtId="0" fontId="166" fillId="0" borderId="0" xfId="25863" applyFont="1" applyFill="1" applyBorder="1" applyAlignment="1">
      <alignment horizontal="left"/>
    </xf>
    <xf numFmtId="43" fontId="166"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4"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6"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43" fontId="164"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43" fontId="37" fillId="0" borderId="0" xfId="25872" applyNumberFormat="1" applyFont="1" applyFill="1" applyBorder="1"/>
    <xf numFmtId="43" fontId="166" fillId="0" borderId="0" xfId="0" applyNumberFormat="1" applyFont="1" applyFill="1" applyAlignment="1"/>
    <xf numFmtId="44" fontId="166"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166" fontId="49" fillId="0" borderId="0" xfId="8" quotePrefix="1" applyNumberFormat="1" applyFont="1" applyFill="1" applyAlignment="1"/>
    <xf numFmtId="4" fontId="65" fillId="0" borderId="0" xfId="2" applyNumberFormat="1" applyFont="1" applyAlignment="1" applyProtection="1"/>
    <xf numFmtId="177" fontId="48" fillId="0" borderId="0" xfId="1767" applyNumberFormat="1" applyFont="1" applyFill="1" applyAlignment="1">
      <alignment horizontal="left"/>
    </xf>
    <xf numFmtId="43" fontId="203" fillId="0" borderId="0" xfId="25863" applyNumberFormat="1" applyFont="1" applyFill="1"/>
    <xf numFmtId="44" fontId="37" fillId="0" borderId="0" xfId="25873" applyNumberFormat="1" applyFont="1" applyFill="1" applyBorder="1" applyAlignment="1">
      <alignment horizontal="left"/>
    </xf>
    <xf numFmtId="166" fontId="49" fillId="0" borderId="0" xfId="8" applyNumberFormat="1" applyFont="1" applyFill="1" applyAlignment="1">
      <alignment horizontal="right"/>
    </xf>
    <xf numFmtId="49" fontId="42" fillId="0" borderId="0" xfId="0" applyNumberFormat="1" applyFont="1" applyFill="1" applyAlignment="1" applyProtection="1">
      <alignment horizontal="left" vertical="top"/>
    </xf>
    <xf numFmtId="43" fontId="37" fillId="0" borderId="0" xfId="0" applyNumberFormat="1" applyFont="1" applyFill="1" applyAlignment="1">
      <alignment horizontal="right" wrapText="1"/>
    </xf>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3" fontId="37" fillId="0" borderId="0" xfId="25873" applyNumberFormat="1" applyFont="1" applyFill="1" applyBorder="1"/>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166" fontId="37" fillId="0" borderId="0" xfId="8" applyNumberFormat="1" applyFont="1"/>
    <xf numFmtId="169" fontId="37" fillId="0" borderId="0" xfId="8" applyNumberFormat="1" applyFont="1"/>
    <xf numFmtId="172" fontId="63" fillId="0" borderId="0" xfId="0" applyNumberFormat="1" applyFont="1" applyFill="1" applyAlignment="1" applyProtection="1"/>
    <xf numFmtId="170" fontId="37" fillId="0" borderId="0" xfId="0" quotePrefix="1" applyNumberFormat="1" applyFont="1" applyAlignment="1">
      <alignment horizontal="right"/>
    </xf>
    <xf numFmtId="200" fontId="37" fillId="0" borderId="0" xfId="2" applyNumberFormat="1" applyFont="1" applyFill="1" applyAlignment="1" applyProtection="1"/>
    <xf numFmtId="170" fontId="59" fillId="0" borderId="46" xfId="2" applyNumberFormat="1" applyFont="1" applyFill="1" applyBorder="1" applyAlignment="1"/>
    <xf numFmtId="165" fontId="37" fillId="0" borderId="0" xfId="0" applyNumberFormat="1" applyFont="1" applyFill="1" applyBorder="1" applyAlignment="1"/>
    <xf numFmtId="166" fontId="37" fillId="0" borderId="0" xfId="0" applyNumberFormat="1" applyFont="1" applyFill="1" applyBorder="1" applyAlignment="1">
      <alignment horizontal="left"/>
    </xf>
    <xf numFmtId="0" fontId="37" fillId="0" borderId="0" xfId="2" applyFont="1" applyFill="1" applyAlignment="1">
      <alignment horizontal="left"/>
    </xf>
    <xf numFmtId="0" fontId="43" fillId="0" borderId="66" xfId="9967" applyNumberFormat="1" applyFont="1" applyFill="1" applyBorder="1" applyAlignment="1">
      <alignment horizontal="center"/>
    </xf>
    <xf numFmtId="177" fontId="61" fillId="0" borderId="0" xfId="740" applyNumberFormat="1" applyFont="1" applyFill="1" applyAlignment="1"/>
    <xf numFmtId="0" fontId="37" fillId="0" borderId="0" xfId="1767" applyFont="1" applyProtection="1"/>
    <xf numFmtId="0" fontId="37" fillId="0" borderId="0" xfId="1767" applyFont="1" applyFill="1" applyProtection="1"/>
    <xf numFmtId="0" fontId="37" fillId="0" borderId="0" xfId="1028" quotePrefix="1" applyAlignment="1">
      <alignment horizontal="center"/>
    </xf>
    <xf numFmtId="4" fontId="37" fillId="0" borderId="0" xfId="1028" applyNumberFormat="1"/>
    <xf numFmtId="4" fontId="37" fillId="0" borderId="0" xfId="1028" applyNumberFormat="1" applyAlignment="1">
      <alignment horizontal="left"/>
    </xf>
    <xf numFmtId="200" fontId="37" fillId="0" borderId="0" xfId="2" applyNumberFormat="1" applyFont="1" applyAlignment="1" applyProtection="1"/>
    <xf numFmtId="0" fontId="37" fillId="0" borderId="0" xfId="1028" applyFont="1" applyAlignment="1" applyProtection="1">
      <alignment horizontal="lef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70" fontId="44" fillId="0" borderId="10" xfId="2" applyNumberFormat="1" applyFont="1" applyFill="1" applyBorder="1" applyAlignment="1" applyProtection="1">
      <alignment horizontal="right"/>
    </xf>
    <xf numFmtId="164" fontId="44" fillId="0" borderId="16" xfId="0" applyNumberFormat="1" applyFont="1" applyBorder="1" applyProtection="1">
      <protection locked="0"/>
    </xf>
    <xf numFmtId="172" fontId="168" fillId="0" borderId="0" xfId="1940" applyNumberFormat="1" applyFont="1" applyAlignment="1"/>
    <xf numFmtId="172" fontId="168" fillId="0" borderId="0" xfId="0" applyNumberFormat="1" applyFont="1" applyBorder="1" applyAlignment="1" applyProtection="1"/>
    <xf numFmtId="181" fontId="97" fillId="0" borderId="0" xfId="740" applyNumberFormat="1" applyFont="1" applyFill="1" applyBorder="1"/>
    <xf numFmtId="0" fontId="66" fillId="0" borderId="0" xfId="25863" quotePrefix="1" applyNumberFormat="1" applyFont="1" applyFill="1" applyAlignment="1">
      <alignment horizontal="left"/>
    </xf>
    <xf numFmtId="172" fontId="37" fillId="0" borderId="10" xfId="0" applyNumberFormat="1" applyFont="1" applyBorder="1" applyAlignment="1" applyProtection="1"/>
    <xf numFmtId="172" fontId="66" fillId="0" borderId="0" xfId="1940" applyNumberFormat="1" applyFont="1" applyAlignment="1"/>
    <xf numFmtId="200" fontId="63" fillId="0" borderId="0" xfId="0" applyNumberFormat="1" applyFont="1" applyFill="1" applyAlignment="1" applyProtection="1"/>
    <xf numFmtId="172" fontId="168" fillId="0" borderId="66" xfId="1940" applyNumberFormat="1" applyFont="1" applyFill="1" applyBorder="1" applyAlignment="1"/>
    <xf numFmtId="202" fontId="37" fillId="0" borderId="0" xfId="0" applyNumberFormat="1" applyFont="1" applyAlignment="1" applyProtection="1"/>
    <xf numFmtId="37" fontId="42" fillId="0" borderId="0" xfId="2" applyNumberFormat="1" applyFont="1" applyFill="1" applyBorder="1" applyAlignment="1" applyProtection="1"/>
    <xf numFmtId="37" fontId="132"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7" fillId="0" borderId="0" xfId="2" quotePrefix="1" applyNumberFormat="1" applyFont="1" applyBorder="1" applyAlignment="1">
      <alignment horizontal="center"/>
    </xf>
    <xf numFmtId="0" fontId="168" fillId="0" borderId="0" xfId="2" applyFont="1" applyBorder="1" applyAlignment="1">
      <alignment horizontal="center"/>
    </xf>
    <xf numFmtId="0" fontId="167"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66"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xr:uid="{00000000-0005-0000-0000-000000000000}"/>
    <cellStyle name="20% - Accent1 10 10" xfId="17928" xr:uid="{00000000-0005-0000-0000-000001000000}"/>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3" xfId="24093" xr:uid="{00000000-0005-0000-0000-000008000000}"/>
    <cellStyle name="20% - Accent1 10 2 2 2 2 3" xfId="12609" xr:uid="{00000000-0005-0000-0000-000009000000}"/>
    <cellStyle name="20% - Accent1 10 2 2 2 2 4" xfId="20564" xr:uid="{00000000-0005-0000-0000-00000A000000}"/>
    <cellStyle name="20% - Accent1 10 2 2 2 3" xfId="6417" xr:uid="{00000000-0005-0000-0000-00000B000000}"/>
    <cellStyle name="20% - Accent1 10 2 2 2 3 2" xfId="14389" xr:uid="{00000000-0005-0000-0000-00000C000000}"/>
    <cellStyle name="20% - Accent1 10 2 2 2 3 3" xfId="22336" xr:uid="{00000000-0005-0000-0000-00000D000000}"/>
    <cellStyle name="20% - Accent1 10 2 2 2 4" xfId="10853" xr:uid="{00000000-0005-0000-0000-00000E000000}"/>
    <cellStyle name="20% - Accent1 10 2 2 2 5" xfId="18808" xr:uid="{00000000-0005-0000-0000-00000F000000}"/>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3" xfId="23215" xr:uid="{00000000-0005-0000-0000-000014000000}"/>
    <cellStyle name="20% - Accent1 10 2 2 3 3" xfId="11731" xr:uid="{00000000-0005-0000-0000-000015000000}"/>
    <cellStyle name="20% - Accent1 10 2 2 3 4" xfId="19686" xr:uid="{00000000-0005-0000-0000-000016000000}"/>
    <cellStyle name="20% - Accent1 10 2 2 4" xfId="5526" xr:uid="{00000000-0005-0000-0000-000017000000}"/>
    <cellStyle name="20% - Accent1 10 2 2 4 2" xfId="13510" xr:uid="{00000000-0005-0000-0000-000018000000}"/>
    <cellStyle name="20% - Accent1 10 2 2 4 3" xfId="21458" xr:uid="{00000000-0005-0000-0000-000019000000}"/>
    <cellStyle name="20% - Accent1 10 2 2 5" xfId="9079" xr:uid="{00000000-0005-0000-0000-00001A000000}"/>
    <cellStyle name="20% - Accent1 10 2 2 5 2" xfId="17037" xr:uid="{00000000-0005-0000-0000-00001B000000}"/>
    <cellStyle name="20% - Accent1 10 2 2 5 3" xfId="24981" xr:uid="{00000000-0005-0000-0000-00001C000000}"/>
    <cellStyle name="20% - Accent1 10 2 2 6" xfId="9975" xr:uid="{00000000-0005-0000-0000-00001D000000}"/>
    <cellStyle name="20% - Accent1 10 2 2 7" xfId="17930" xr:uid="{00000000-0005-0000-0000-00001E000000}"/>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3" xfId="24092" xr:uid="{00000000-0005-0000-0000-000024000000}"/>
    <cellStyle name="20% - Accent1 10 2 3 2 3" xfId="12608" xr:uid="{00000000-0005-0000-0000-000025000000}"/>
    <cellStyle name="20% - Accent1 10 2 3 2 4" xfId="20563" xr:uid="{00000000-0005-0000-0000-000026000000}"/>
    <cellStyle name="20% - Accent1 10 2 3 3" xfId="6416" xr:uid="{00000000-0005-0000-0000-000027000000}"/>
    <cellStyle name="20% - Accent1 10 2 3 3 2" xfId="14388" xr:uid="{00000000-0005-0000-0000-000028000000}"/>
    <cellStyle name="20% - Accent1 10 2 3 3 3" xfId="22335" xr:uid="{00000000-0005-0000-0000-000029000000}"/>
    <cellStyle name="20% - Accent1 10 2 3 4" xfId="10852" xr:uid="{00000000-0005-0000-0000-00002A000000}"/>
    <cellStyle name="20% - Accent1 10 2 3 5" xfId="18807" xr:uid="{00000000-0005-0000-0000-00002B000000}"/>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3" xfId="23214" xr:uid="{00000000-0005-0000-0000-000030000000}"/>
    <cellStyle name="20% - Accent1 10 2 4 3" xfId="11730" xr:uid="{00000000-0005-0000-0000-000031000000}"/>
    <cellStyle name="20% - Accent1 10 2 4 4" xfId="19685" xr:uid="{00000000-0005-0000-0000-000032000000}"/>
    <cellStyle name="20% - Accent1 10 2 5" xfId="5525" xr:uid="{00000000-0005-0000-0000-000033000000}"/>
    <cellStyle name="20% - Accent1 10 2 5 2" xfId="13509" xr:uid="{00000000-0005-0000-0000-000034000000}"/>
    <cellStyle name="20% - Accent1 10 2 5 3" xfId="21457" xr:uid="{00000000-0005-0000-0000-000035000000}"/>
    <cellStyle name="20% - Accent1 10 2 6" xfId="9078" xr:uid="{00000000-0005-0000-0000-000036000000}"/>
    <cellStyle name="20% - Accent1 10 2 6 2" xfId="17036" xr:uid="{00000000-0005-0000-0000-000037000000}"/>
    <cellStyle name="20% - Accent1 10 2 6 3" xfId="24980" xr:uid="{00000000-0005-0000-0000-000038000000}"/>
    <cellStyle name="20% - Accent1 10 2 7" xfId="9974" xr:uid="{00000000-0005-0000-0000-000039000000}"/>
    <cellStyle name="20% - Accent1 10 2 8" xfId="17929" xr:uid="{00000000-0005-0000-0000-00003A000000}"/>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3" xfId="24094" xr:uid="{00000000-0005-0000-0000-000041000000}"/>
    <cellStyle name="20% - Accent1 10 3 2 2 3" xfId="12610" xr:uid="{00000000-0005-0000-0000-000042000000}"/>
    <cellStyle name="20% - Accent1 10 3 2 2 4" xfId="20565" xr:uid="{00000000-0005-0000-0000-000043000000}"/>
    <cellStyle name="20% - Accent1 10 3 2 3" xfId="6418" xr:uid="{00000000-0005-0000-0000-000044000000}"/>
    <cellStyle name="20% - Accent1 10 3 2 3 2" xfId="14390" xr:uid="{00000000-0005-0000-0000-000045000000}"/>
    <cellStyle name="20% - Accent1 10 3 2 3 3" xfId="22337" xr:uid="{00000000-0005-0000-0000-000046000000}"/>
    <cellStyle name="20% - Accent1 10 3 2 4" xfId="10854" xr:uid="{00000000-0005-0000-0000-000047000000}"/>
    <cellStyle name="20% - Accent1 10 3 2 5" xfId="18809" xr:uid="{00000000-0005-0000-0000-00004800000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3" xfId="23216" xr:uid="{00000000-0005-0000-0000-00004D000000}"/>
    <cellStyle name="20% - Accent1 10 3 3 3" xfId="11732" xr:uid="{00000000-0005-0000-0000-00004E000000}"/>
    <cellStyle name="20% - Accent1 10 3 3 4" xfId="19687" xr:uid="{00000000-0005-0000-0000-00004F000000}"/>
    <cellStyle name="20% - Accent1 10 3 4" xfId="5527" xr:uid="{00000000-0005-0000-0000-000050000000}"/>
    <cellStyle name="20% - Accent1 10 3 4 2" xfId="13511" xr:uid="{00000000-0005-0000-0000-000051000000}"/>
    <cellStyle name="20% - Accent1 10 3 4 3" xfId="21459" xr:uid="{00000000-0005-0000-0000-000052000000}"/>
    <cellStyle name="20% - Accent1 10 3 5" xfId="9080" xr:uid="{00000000-0005-0000-0000-000053000000}"/>
    <cellStyle name="20% - Accent1 10 3 5 2" xfId="17038" xr:uid="{00000000-0005-0000-0000-000054000000}"/>
    <cellStyle name="20% - Accent1 10 3 5 3" xfId="24982" xr:uid="{00000000-0005-0000-0000-000055000000}"/>
    <cellStyle name="20% - Accent1 10 3 6" xfId="9976" xr:uid="{00000000-0005-0000-0000-000056000000}"/>
    <cellStyle name="20% - Accent1 10 3 7" xfId="17931" xr:uid="{00000000-0005-0000-0000-000057000000}"/>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3" xfId="24091" xr:uid="{00000000-0005-0000-0000-00005E000000}"/>
    <cellStyle name="20% - Accent1 10 5 2 3" xfId="12607" xr:uid="{00000000-0005-0000-0000-00005F000000}"/>
    <cellStyle name="20% - Accent1 10 5 2 4" xfId="20562" xr:uid="{00000000-0005-0000-0000-000060000000}"/>
    <cellStyle name="20% - Accent1 10 5 3" xfId="6415" xr:uid="{00000000-0005-0000-0000-000061000000}"/>
    <cellStyle name="20% - Accent1 10 5 3 2" xfId="14387" xr:uid="{00000000-0005-0000-0000-000062000000}"/>
    <cellStyle name="20% - Accent1 10 5 3 3" xfId="22334" xr:uid="{00000000-0005-0000-0000-000063000000}"/>
    <cellStyle name="20% - Accent1 10 5 4" xfId="10851" xr:uid="{00000000-0005-0000-0000-000064000000}"/>
    <cellStyle name="20% - Accent1 10 5 5" xfId="18806" xr:uid="{00000000-0005-0000-0000-000065000000}"/>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3" xfId="23213" xr:uid="{00000000-0005-0000-0000-00006A000000}"/>
    <cellStyle name="20% - Accent1 10 6 3" xfId="11729" xr:uid="{00000000-0005-0000-0000-00006B000000}"/>
    <cellStyle name="20% - Accent1 10 6 4" xfId="19684" xr:uid="{00000000-0005-0000-0000-00006C000000}"/>
    <cellStyle name="20% - Accent1 10 7" xfId="5524" xr:uid="{00000000-0005-0000-0000-00006D000000}"/>
    <cellStyle name="20% - Accent1 10 7 2" xfId="13508" xr:uid="{00000000-0005-0000-0000-00006E000000}"/>
    <cellStyle name="20% - Accent1 10 7 3" xfId="21456" xr:uid="{00000000-0005-0000-0000-00006F000000}"/>
    <cellStyle name="20% - Accent1 10 8" xfId="9077" xr:uid="{00000000-0005-0000-0000-000070000000}"/>
    <cellStyle name="20% - Accent1 10 8 2" xfId="17035" xr:uid="{00000000-0005-0000-0000-000071000000}"/>
    <cellStyle name="20% - Accent1 10 8 3" xfId="24979" xr:uid="{00000000-0005-0000-0000-000072000000}"/>
    <cellStyle name="20% - Accent1 10 9" xfId="9973" xr:uid="{00000000-0005-0000-0000-000073000000}"/>
    <cellStyle name="20% - Accent1 10_Exh G" xfId="1941" xr:uid="{00000000-0005-0000-0000-000074000000}"/>
    <cellStyle name="20% - Accent1 11" xfId="29" xr:uid="{00000000-0005-0000-0000-000075000000}"/>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3" xfId="24097" xr:uid="{00000000-0005-0000-0000-00007C000000}"/>
    <cellStyle name="20% - Accent1 11 2 2 2 2 3" xfId="12613" xr:uid="{00000000-0005-0000-0000-00007D000000}"/>
    <cellStyle name="20% - Accent1 11 2 2 2 2 4" xfId="20568" xr:uid="{00000000-0005-0000-0000-00007E000000}"/>
    <cellStyle name="20% - Accent1 11 2 2 2 3" xfId="6421" xr:uid="{00000000-0005-0000-0000-00007F000000}"/>
    <cellStyle name="20% - Accent1 11 2 2 2 3 2" xfId="14393" xr:uid="{00000000-0005-0000-0000-000080000000}"/>
    <cellStyle name="20% - Accent1 11 2 2 2 3 3" xfId="22340" xr:uid="{00000000-0005-0000-0000-000081000000}"/>
    <cellStyle name="20% - Accent1 11 2 2 2 4" xfId="10857" xr:uid="{00000000-0005-0000-0000-000082000000}"/>
    <cellStyle name="20% - Accent1 11 2 2 2 5" xfId="18812" xr:uid="{00000000-0005-0000-0000-000083000000}"/>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3" xfId="23219" xr:uid="{00000000-0005-0000-0000-000088000000}"/>
    <cellStyle name="20% - Accent1 11 2 2 3 3" xfId="11735" xr:uid="{00000000-0005-0000-0000-000089000000}"/>
    <cellStyle name="20% - Accent1 11 2 2 3 4" xfId="19690" xr:uid="{00000000-0005-0000-0000-00008A000000}"/>
    <cellStyle name="20% - Accent1 11 2 2 4" xfId="5530" xr:uid="{00000000-0005-0000-0000-00008B000000}"/>
    <cellStyle name="20% - Accent1 11 2 2 4 2" xfId="13514" xr:uid="{00000000-0005-0000-0000-00008C000000}"/>
    <cellStyle name="20% - Accent1 11 2 2 4 3" xfId="21462" xr:uid="{00000000-0005-0000-0000-00008D000000}"/>
    <cellStyle name="20% - Accent1 11 2 2 5" xfId="9083" xr:uid="{00000000-0005-0000-0000-00008E000000}"/>
    <cellStyle name="20% - Accent1 11 2 2 5 2" xfId="17041" xr:uid="{00000000-0005-0000-0000-00008F000000}"/>
    <cellStyle name="20% - Accent1 11 2 2 5 3" xfId="24985" xr:uid="{00000000-0005-0000-0000-000090000000}"/>
    <cellStyle name="20% - Accent1 11 2 2 6" xfId="9979" xr:uid="{00000000-0005-0000-0000-000091000000}"/>
    <cellStyle name="20% - Accent1 11 2 2 7" xfId="17934" xr:uid="{00000000-0005-0000-0000-000092000000}"/>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3" xfId="24096" xr:uid="{00000000-0005-0000-0000-000098000000}"/>
    <cellStyle name="20% - Accent1 11 2 3 2 3" xfId="12612" xr:uid="{00000000-0005-0000-0000-000099000000}"/>
    <cellStyle name="20% - Accent1 11 2 3 2 4" xfId="20567" xr:uid="{00000000-0005-0000-0000-00009A000000}"/>
    <cellStyle name="20% - Accent1 11 2 3 3" xfId="6420" xr:uid="{00000000-0005-0000-0000-00009B000000}"/>
    <cellStyle name="20% - Accent1 11 2 3 3 2" xfId="14392" xr:uid="{00000000-0005-0000-0000-00009C000000}"/>
    <cellStyle name="20% - Accent1 11 2 3 3 3" xfId="22339" xr:uid="{00000000-0005-0000-0000-00009D000000}"/>
    <cellStyle name="20% - Accent1 11 2 3 4" xfId="10856" xr:uid="{00000000-0005-0000-0000-00009E000000}"/>
    <cellStyle name="20% - Accent1 11 2 3 5" xfId="18811" xr:uid="{00000000-0005-0000-0000-00009F000000}"/>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3" xfId="23218" xr:uid="{00000000-0005-0000-0000-0000A4000000}"/>
    <cellStyle name="20% - Accent1 11 2 4 3" xfId="11734" xr:uid="{00000000-0005-0000-0000-0000A5000000}"/>
    <cellStyle name="20% - Accent1 11 2 4 4" xfId="19689" xr:uid="{00000000-0005-0000-0000-0000A6000000}"/>
    <cellStyle name="20% - Accent1 11 2 5" xfId="5529" xr:uid="{00000000-0005-0000-0000-0000A7000000}"/>
    <cellStyle name="20% - Accent1 11 2 5 2" xfId="13513" xr:uid="{00000000-0005-0000-0000-0000A8000000}"/>
    <cellStyle name="20% - Accent1 11 2 5 3" xfId="21461" xr:uid="{00000000-0005-0000-0000-0000A9000000}"/>
    <cellStyle name="20% - Accent1 11 2 6" xfId="9082" xr:uid="{00000000-0005-0000-0000-0000AA000000}"/>
    <cellStyle name="20% - Accent1 11 2 6 2" xfId="17040" xr:uid="{00000000-0005-0000-0000-0000AB000000}"/>
    <cellStyle name="20% - Accent1 11 2 6 3" xfId="24984" xr:uid="{00000000-0005-0000-0000-0000AC000000}"/>
    <cellStyle name="20% - Accent1 11 2 7" xfId="9978" xr:uid="{00000000-0005-0000-0000-0000AD000000}"/>
    <cellStyle name="20% - Accent1 11 2 8" xfId="17933" xr:uid="{00000000-0005-0000-0000-0000AE000000}"/>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3" xfId="24098" xr:uid="{00000000-0005-0000-0000-0000B5000000}"/>
    <cellStyle name="20% - Accent1 11 3 2 2 3" xfId="12614" xr:uid="{00000000-0005-0000-0000-0000B6000000}"/>
    <cellStyle name="20% - Accent1 11 3 2 2 4" xfId="20569" xr:uid="{00000000-0005-0000-0000-0000B7000000}"/>
    <cellStyle name="20% - Accent1 11 3 2 3" xfId="6422" xr:uid="{00000000-0005-0000-0000-0000B8000000}"/>
    <cellStyle name="20% - Accent1 11 3 2 3 2" xfId="14394" xr:uid="{00000000-0005-0000-0000-0000B9000000}"/>
    <cellStyle name="20% - Accent1 11 3 2 3 3" xfId="22341" xr:uid="{00000000-0005-0000-0000-0000BA000000}"/>
    <cellStyle name="20% - Accent1 11 3 2 4" xfId="10858" xr:uid="{00000000-0005-0000-0000-0000BB000000}"/>
    <cellStyle name="20% - Accent1 11 3 2 5" xfId="18813" xr:uid="{00000000-0005-0000-0000-0000BC000000}"/>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3" xfId="23220" xr:uid="{00000000-0005-0000-0000-0000C1000000}"/>
    <cellStyle name="20% - Accent1 11 3 3 3" xfId="11736" xr:uid="{00000000-0005-0000-0000-0000C2000000}"/>
    <cellStyle name="20% - Accent1 11 3 3 4" xfId="19691" xr:uid="{00000000-0005-0000-0000-0000C3000000}"/>
    <cellStyle name="20% - Accent1 11 3 4" xfId="5531" xr:uid="{00000000-0005-0000-0000-0000C4000000}"/>
    <cellStyle name="20% - Accent1 11 3 4 2" xfId="13515" xr:uid="{00000000-0005-0000-0000-0000C5000000}"/>
    <cellStyle name="20% - Accent1 11 3 4 3" xfId="21463" xr:uid="{00000000-0005-0000-0000-0000C6000000}"/>
    <cellStyle name="20% - Accent1 11 3 5" xfId="9084" xr:uid="{00000000-0005-0000-0000-0000C7000000}"/>
    <cellStyle name="20% - Accent1 11 3 5 2" xfId="17042" xr:uid="{00000000-0005-0000-0000-0000C8000000}"/>
    <cellStyle name="20% - Accent1 11 3 5 3" xfId="24986" xr:uid="{00000000-0005-0000-0000-0000C9000000}"/>
    <cellStyle name="20% - Accent1 11 3 6" xfId="9980" xr:uid="{00000000-0005-0000-0000-0000CA000000}"/>
    <cellStyle name="20% - Accent1 11 3 7" xfId="17935" xr:uid="{00000000-0005-0000-0000-0000CB000000}"/>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3" xfId="24095" xr:uid="{00000000-0005-0000-0000-0000D1000000}"/>
    <cellStyle name="20% - Accent1 11 4 2 3" xfId="12611" xr:uid="{00000000-0005-0000-0000-0000D2000000}"/>
    <cellStyle name="20% - Accent1 11 4 2 4" xfId="20566" xr:uid="{00000000-0005-0000-0000-0000D3000000}"/>
    <cellStyle name="20% - Accent1 11 4 3" xfId="6419" xr:uid="{00000000-0005-0000-0000-0000D4000000}"/>
    <cellStyle name="20% - Accent1 11 4 3 2" xfId="14391" xr:uid="{00000000-0005-0000-0000-0000D5000000}"/>
    <cellStyle name="20% - Accent1 11 4 3 3" xfId="22338" xr:uid="{00000000-0005-0000-0000-0000D6000000}"/>
    <cellStyle name="20% - Accent1 11 4 4" xfId="10855" xr:uid="{00000000-0005-0000-0000-0000D7000000}"/>
    <cellStyle name="20% - Accent1 11 4 5" xfId="18810" xr:uid="{00000000-0005-0000-0000-0000D8000000}"/>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3" xfId="23217" xr:uid="{00000000-0005-0000-0000-0000DD000000}"/>
    <cellStyle name="20% - Accent1 11 5 3" xfId="11733" xr:uid="{00000000-0005-0000-0000-0000DE000000}"/>
    <cellStyle name="20% - Accent1 11 5 4" xfId="19688" xr:uid="{00000000-0005-0000-0000-0000DF000000}"/>
    <cellStyle name="20% - Accent1 11 6" xfId="5528" xr:uid="{00000000-0005-0000-0000-0000E0000000}"/>
    <cellStyle name="20% - Accent1 11 6 2" xfId="13512" xr:uid="{00000000-0005-0000-0000-0000E1000000}"/>
    <cellStyle name="20% - Accent1 11 6 3" xfId="21460" xr:uid="{00000000-0005-0000-0000-0000E2000000}"/>
    <cellStyle name="20% - Accent1 11 7" xfId="9081" xr:uid="{00000000-0005-0000-0000-0000E3000000}"/>
    <cellStyle name="20% - Accent1 11 7 2" xfId="17039" xr:uid="{00000000-0005-0000-0000-0000E4000000}"/>
    <cellStyle name="20% - Accent1 11 7 3" xfId="24983" xr:uid="{00000000-0005-0000-0000-0000E5000000}"/>
    <cellStyle name="20% - Accent1 11 8" xfId="9977" xr:uid="{00000000-0005-0000-0000-0000E6000000}"/>
    <cellStyle name="20% - Accent1 11 9" xfId="17932" xr:uid="{00000000-0005-0000-0000-0000E7000000}"/>
    <cellStyle name="20% - Accent1 11_Exh G" xfId="1949" xr:uid="{00000000-0005-0000-0000-0000E8000000}"/>
    <cellStyle name="20% - Accent1 12" xfId="33" xr:uid="{00000000-0005-0000-0000-0000E9000000}"/>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3" xfId="24101" xr:uid="{00000000-0005-0000-0000-0000F0000000}"/>
    <cellStyle name="20% - Accent1 12 2 2 2 2 3" xfId="12617" xr:uid="{00000000-0005-0000-0000-0000F1000000}"/>
    <cellStyle name="20% - Accent1 12 2 2 2 2 4" xfId="20572" xr:uid="{00000000-0005-0000-0000-0000F2000000}"/>
    <cellStyle name="20% - Accent1 12 2 2 2 3" xfId="6425" xr:uid="{00000000-0005-0000-0000-0000F3000000}"/>
    <cellStyle name="20% - Accent1 12 2 2 2 3 2" xfId="14397" xr:uid="{00000000-0005-0000-0000-0000F4000000}"/>
    <cellStyle name="20% - Accent1 12 2 2 2 3 3" xfId="22344" xr:uid="{00000000-0005-0000-0000-0000F5000000}"/>
    <cellStyle name="20% - Accent1 12 2 2 2 4" xfId="10861" xr:uid="{00000000-0005-0000-0000-0000F6000000}"/>
    <cellStyle name="20% - Accent1 12 2 2 2 5" xfId="18816" xr:uid="{00000000-0005-0000-0000-0000F7000000}"/>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3" xfId="23223" xr:uid="{00000000-0005-0000-0000-0000FC000000}"/>
    <cellStyle name="20% - Accent1 12 2 2 3 3" xfId="11739" xr:uid="{00000000-0005-0000-0000-0000FD000000}"/>
    <cellStyle name="20% - Accent1 12 2 2 3 4" xfId="19694" xr:uid="{00000000-0005-0000-0000-0000FE000000}"/>
    <cellStyle name="20% - Accent1 12 2 2 4" xfId="5534" xr:uid="{00000000-0005-0000-0000-0000FF000000}"/>
    <cellStyle name="20% - Accent1 12 2 2 4 2" xfId="13518" xr:uid="{00000000-0005-0000-0000-000000010000}"/>
    <cellStyle name="20% - Accent1 12 2 2 4 3" xfId="21466" xr:uid="{00000000-0005-0000-0000-000001010000}"/>
    <cellStyle name="20% - Accent1 12 2 2 5" xfId="9087" xr:uid="{00000000-0005-0000-0000-000002010000}"/>
    <cellStyle name="20% - Accent1 12 2 2 5 2" xfId="17045" xr:uid="{00000000-0005-0000-0000-000003010000}"/>
    <cellStyle name="20% - Accent1 12 2 2 5 3" xfId="24989" xr:uid="{00000000-0005-0000-0000-000004010000}"/>
    <cellStyle name="20% - Accent1 12 2 2 6" xfId="9983" xr:uid="{00000000-0005-0000-0000-000005010000}"/>
    <cellStyle name="20% - Accent1 12 2 2 7" xfId="17938" xr:uid="{00000000-0005-0000-0000-000006010000}"/>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3" xfId="24100" xr:uid="{00000000-0005-0000-0000-00000C010000}"/>
    <cellStyle name="20% - Accent1 12 2 3 2 3" xfId="12616" xr:uid="{00000000-0005-0000-0000-00000D010000}"/>
    <cellStyle name="20% - Accent1 12 2 3 2 4" xfId="20571" xr:uid="{00000000-0005-0000-0000-00000E010000}"/>
    <cellStyle name="20% - Accent1 12 2 3 3" xfId="6424" xr:uid="{00000000-0005-0000-0000-00000F010000}"/>
    <cellStyle name="20% - Accent1 12 2 3 3 2" xfId="14396" xr:uid="{00000000-0005-0000-0000-000010010000}"/>
    <cellStyle name="20% - Accent1 12 2 3 3 3" xfId="22343" xr:uid="{00000000-0005-0000-0000-000011010000}"/>
    <cellStyle name="20% - Accent1 12 2 3 4" xfId="10860" xr:uid="{00000000-0005-0000-0000-000012010000}"/>
    <cellStyle name="20% - Accent1 12 2 3 5" xfId="18815" xr:uid="{00000000-0005-0000-0000-000013010000}"/>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3" xfId="23222" xr:uid="{00000000-0005-0000-0000-000018010000}"/>
    <cellStyle name="20% - Accent1 12 2 4 3" xfId="11738" xr:uid="{00000000-0005-0000-0000-000019010000}"/>
    <cellStyle name="20% - Accent1 12 2 4 4" xfId="19693" xr:uid="{00000000-0005-0000-0000-00001A010000}"/>
    <cellStyle name="20% - Accent1 12 2 5" xfId="5533" xr:uid="{00000000-0005-0000-0000-00001B010000}"/>
    <cellStyle name="20% - Accent1 12 2 5 2" xfId="13517" xr:uid="{00000000-0005-0000-0000-00001C010000}"/>
    <cellStyle name="20% - Accent1 12 2 5 3" xfId="21465" xr:uid="{00000000-0005-0000-0000-00001D010000}"/>
    <cellStyle name="20% - Accent1 12 2 6" xfId="9086" xr:uid="{00000000-0005-0000-0000-00001E010000}"/>
    <cellStyle name="20% - Accent1 12 2 6 2" xfId="17044" xr:uid="{00000000-0005-0000-0000-00001F010000}"/>
    <cellStyle name="20% - Accent1 12 2 6 3" xfId="24988" xr:uid="{00000000-0005-0000-0000-000020010000}"/>
    <cellStyle name="20% - Accent1 12 2 7" xfId="9982" xr:uid="{00000000-0005-0000-0000-000021010000}"/>
    <cellStyle name="20% - Accent1 12 2 8" xfId="17937" xr:uid="{00000000-0005-0000-0000-000022010000}"/>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3" xfId="24102" xr:uid="{00000000-0005-0000-0000-000029010000}"/>
    <cellStyle name="20% - Accent1 12 3 2 2 3" xfId="12618" xr:uid="{00000000-0005-0000-0000-00002A010000}"/>
    <cellStyle name="20% - Accent1 12 3 2 2 4" xfId="20573" xr:uid="{00000000-0005-0000-0000-00002B010000}"/>
    <cellStyle name="20% - Accent1 12 3 2 3" xfId="6426" xr:uid="{00000000-0005-0000-0000-00002C010000}"/>
    <cellStyle name="20% - Accent1 12 3 2 3 2" xfId="14398" xr:uid="{00000000-0005-0000-0000-00002D010000}"/>
    <cellStyle name="20% - Accent1 12 3 2 3 3" xfId="22345" xr:uid="{00000000-0005-0000-0000-00002E010000}"/>
    <cellStyle name="20% - Accent1 12 3 2 4" xfId="10862" xr:uid="{00000000-0005-0000-0000-00002F010000}"/>
    <cellStyle name="20% - Accent1 12 3 2 5" xfId="18817" xr:uid="{00000000-0005-0000-0000-000030010000}"/>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3" xfId="23224" xr:uid="{00000000-0005-0000-0000-000035010000}"/>
    <cellStyle name="20% - Accent1 12 3 3 3" xfId="11740" xr:uid="{00000000-0005-0000-0000-000036010000}"/>
    <cellStyle name="20% - Accent1 12 3 3 4" xfId="19695" xr:uid="{00000000-0005-0000-0000-000037010000}"/>
    <cellStyle name="20% - Accent1 12 3 4" xfId="5535" xr:uid="{00000000-0005-0000-0000-000038010000}"/>
    <cellStyle name="20% - Accent1 12 3 4 2" xfId="13519" xr:uid="{00000000-0005-0000-0000-000039010000}"/>
    <cellStyle name="20% - Accent1 12 3 4 3" xfId="21467" xr:uid="{00000000-0005-0000-0000-00003A010000}"/>
    <cellStyle name="20% - Accent1 12 3 5" xfId="9088" xr:uid="{00000000-0005-0000-0000-00003B010000}"/>
    <cellStyle name="20% - Accent1 12 3 5 2" xfId="17046" xr:uid="{00000000-0005-0000-0000-00003C010000}"/>
    <cellStyle name="20% - Accent1 12 3 5 3" xfId="24990" xr:uid="{00000000-0005-0000-0000-00003D010000}"/>
    <cellStyle name="20% - Accent1 12 3 6" xfId="9984" xr:uid="{00000000-0005-0000-0000-00003E010000}"/>
    <cellStyle name="20% - Accent1 12 3 7" xfId="17939" xr:uid="{00000000-0005-0000-0000-00003F010000}"/>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3" xfId="24099" xr:uid="{00000000-0005-0000-0000-000045010000}"/>
    <cellStyle name="20% - Accent1 12 4 2 3" xfId="12615" xr:uid="{00000000-0005-0000-0000-000046010000}"/>
    <cellStyle name="20% - Accent1 12 4 2 4" xfId="20570" xr:uid="{00000000-0005-0000-0000-000047010000}"/>
    <cellStyle name="20% - Accent1 12 4 3" xfId="6423" xr:uid="{00000000-0005-0000-0000-000048010000}"/>
    <cellStyle name="20% - Accent1 12 4 3 2" xfId="14395" xr:uid="{00000000-0005-0000-0000-000049010000}"/>
    <cellStyle name="20% - Accent1 12 4 3 3" xfId="22342" xr:uid="{00000000-0005-0000-0000-00004A010000}"/>
    <cellStyle name="20% - Accent1 12 4 4" xfId="10859" xr:uid="{00000000-0005-0000-0000-00004B010000}"/>
    <cellStyle name="20% - Accent1 12 4 5" xfId="18814" xr:uid="{00000000-0005-0000-0000-00004C010000}"/>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3" xfId="23221" xr:uid="{00000000-0005-0000-0000-000051010000}"/>
    <cellStyle name="20% - Accent1 12 5 3" xfId="11737" xr:uid="{00000000-0005-0000-0000-000052010000}"/>
    <cellStyle name="20% - Accent1 12 5 4" xfId="19692" xr:uid="{00000000-0005-0000-0000-000053010000}"/>
    <cellStyle name="20% - Accent1 12 6" xfId="5532" xr:uid="{00000000-0005-0000-0000-000054010000}"/>
    <cellStyle name="20% - Accent1 12 6 2" xfId="13516" xr:uid="{00000000-0005-0000-0000-000055010000}"/>
    <cellStyle name="20% - Accent1 12 6 3" xfId="21464" xr:uid="{00000000-0005-0000-0000-000056010000}"/>
    <cellStyle name="20% - Accent1 12 7" xfId="9085" xr:uid="{00000000-0005-0000-0000-000057010000}"/>
    <cellStyle name="20% - Accent1 12 7 2" xfId="17043" xr:uid="{00000000-0005-0000-0000-000058010000}"/>
    <cellStyle name="20% - Accent1 12 7 3" xfId="24987" xr:uid="{00000000-0005-0000-0000-000059010000}"/>
    <cellStyle name="20% - Accent1 12 8" xfId="9981" xr:uid="{00000000-0005-0000-0000-00005A010000}"/>
    <cellStyle name="20% - Accent1 12 9" xfId="17936" xr:uid="{00000000-0005-0000-0000-00005B010000}"/>
    <cellStyle name="20% - Accent1 12_Exh G" xfId="1957" xr:uid="{00000000-0005-0000-0000-00005C010000}"/>
    <cellStyle name="20% - Accent1 13" xfId="37" xr:uid="{00000000-0005-0000-0000-00005D010000}"/>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3" xfId="24105" xr:uid="{00000000-0005-0000-0000-000064010000}"/>
    <cellStyle name="20% - Accent1 13 2 2 2 2 3" xfId="12621" xr:uid="{00000000-0005-0000-0000-000065010000}"/>
    <cellStyle name="20% - Accent1 13 2 2 2 2 4" xfId="20576" xr:uid="{00000000-0005-0000-0000-000066010000}"/>
    <cellStyle name="20% - Accent1 13 2 2 2 3" xfId="6429" xr:uid="{00000000-0005-0000-0000-000067010000}"/>
    <cellStyle name="20% - Accent1 13 2 2 2 3 2" xfId="14401" xr:uid="{00000000-0005-0000-0000-000068010000}"/>
    <cellStyle name="20% - Accent1 13 2 2 2 3 3" xfId="22348" xr:uid="{00000000-0005-0000-0000-000069010000}"/>
    <cellStyle name="20% - Accent1 13 2 2 2 4" xfId="10865" xr:uid="{00000000-0005-0000-0000-00006A010000}"/>
    <cellStyle name="20% - Accent1 13 2 2 2 5" xfId="18820" xr:uid="{00000000-0005-0000-0000-00006B010000}"/>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3" xfId="23227" xr:uid="{00000000-0005-0000-0000-000070010000}"/>
    <cellStyle name="20% - Accent1 13 2 2 3 3" xfId="11743" xr:uid="{00000000-0005-0000-0000-000071010000}"/>
    <cellStyle name="20% - Accent1 13 2 2 3 4" xfId="19698" xr:uid="{00000000-0005-0000-0000-000072010000}"/>
    <cellStyle name="20% - Accent1 13 2 2 4" xfId="5538" xr:uid="{00000000-0005-0000-0000-000073010000}"/>
    <cellStyle name="20% - Accent1 13 2 2 4 2" xfId="13522" xr:uid="{00000000-0005-0000-0000-000074010000}"/>
    <cellStyle name="20% - Accent1 13 2 2 4 3" xfId="21470" xr:uid="{00000000-0005-0000-0000-000075010000}"/>
    <cellStyle name="20% - Accent1 13 2 2 5" xfId="9091" xr:uid="{00000000-0005-0000-0000-000076010000}"/>
    <cellStyle name="20% - Accent1 13 2 2 5 2" xfId="17049" xr:uid="{00000000-0005-0000-0000-000077010000}"/>
    <cellStyle name="20% - Accent1 13 2 2 5 3" xfId="24993" xr:uid="{00000000-0005-0000-0000-000078010000}"/>
    <cellStyle name="20% - Accent1 13 2 2 6" xfId="9987" xr:uid="{00000000-0005-0000-0000-000079010000}"/>
    <cellStyle name="20% - Accent1 13 2 2 7" xfId="17942" xr:uid="{00000000-0005-0000-0000-00007A010000}"/>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3" xfId="24104" xr:uid="{00000000-0005-0000-0000-000080010000}"/>
    <cellStyle name="20% - Accent1 13 2 3 2 3" xfId="12620" xr:uid="{00000000-0005-0000-0000-000081010000}"/>
    <cellStyle name="20% - Accent1 13 2 3 2 4" xfId="20575" xr:uid="{00000000-0005-0000-0000-000082010000}"/>
    <cellStyle name="20% - Accent1 13 2 3 3" xfId="6428" xr:uid="{00000000-0005-0000-0000-000083010000}"/>
    <cellStyle name="20% - Accent1 13 2 3 3 2" xfId="14400" xr:uid="{00000000-0005-0000-0000-000084010000}"/>
    <cellStyle name="20% - Accent1 13 2 3 3 3" xfId="22347" xr:uid="{00000000-0005-0000-0000-000085010000}"/>
    <cellStyle name="20% - Accent1 13 2 3 4" xfId="10864" xr:uid="{00000000-0005-0000-0000-000086010000}"/>
    <cellStyle name="20% - Accent1 13 2 3 5" xfId="18819" xr:uid="{00000000-0005-0000-0000-000087010000}"/>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3" xfId="23226" xr:uid="{00000000-0005-0000-0000-00008C010000}"/>
    <cellStyle name="20% - Accent1 13 2 4 3" xfId="11742" xr:uid="{00000000-0005-0000-0000-00008D010000}"/>
    <cellStyle name="20% - Accent1 13 2 4 4" xfId="19697" xr:uid="{00000000-0005-0000-0000-00008E010000}"/>
    <cellStyle name="20% - Accent1 13 2 5" xfId="5537" xr:uid="{00000000-0005-0000-0000-00008F010000}"/>
    <cellStyle name="20% - Accent1 13 2 5 2" xfId="13521" xr:uid="{00000000-0005-0000-0000-000090010000}"/>
    <cellStyle name="20% - Accent1 13 2 5 3" xfId="21469" xr:uid="{00000000-0005-0000-0000-000091010000}"/>
    <cellStyle name="20% - Accent1 13 2 6" xfId="9090" xr:uid="{00000000-0005-0000-0000-000092010000}"/>
    <cellStyle name="20% - Accent1 13 2 6 2" xfId="17048" xr:uid="{00000000-0005-0000-0000-000093010000}"/>
    <cellStyle name="20% - Accent1 13 2 6 3" xfId="24992" xr:uid="{00000000-0005-0000-0000-000094010000}"/>
    <cellStyle name="20% - Accent1 13 2 7" xfId="9986" xr:uid="{00000000-0005-0000-0000-000095010000}"/>
    <cellStyle name="20% - Accent1 13 2 8" xfId="17941" xr:uid="{00000000-0005-0000-0000-000096010000}"/>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3" xfId="24106" xr:uid="{00000000-0005-0000-0000-00009D010000}"/>
    <cellStyle name="20% - Accent1 13 3 2 2 3" xfId="12622" xr:uid="{00000000-0005-0000-0000-00009E010000}"/>
    <cellStyle name="20% - Accent1 13 3 2 2 4" xfId="20577" xr:uid="{00000000-0005-0000-0000-00009F010000}"/>
    <cellStyle name="20% - Accent1 13 3 2 3" xfId="6430" xr:uid="{00000000-0005-0000-0000-0000A0010000}"/>
    <cellStyle name="20% - Accent1 13 3 2 3 2" xfId="14402" xr:uid="{00000000-0005-0000-0000-0000A1010000}"/>
    <cellStyle name="20% - Accent1 13 3 2 3 3" xfId="22349" xr:uid="{00000000-0005-0000-0000-0000A2010000}"/>
    <cellStyle name="20% - Accent1 13 3 2 4" xfId="10866" xr:uid="{00000000-0005-0000-0000-0000A3010000}"/>
    <cellStyle name="20% - Accent1 13 3 2 5" xfId="18821" xr:uid="{00000000-0005-0000-0000-0000A4010000}"/>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3" xfId="23228" xr:uid="{00000000-0005-0000-0000-0000A9010000}"/>
    <cellStyle name="20% - Accent1 13 3 3 3" xfId="11744" xr:uid="{00000000-0005-0000-0000-0000AA010000}"/>
    <cellStyle name="20% - Accent1 13 3 3 4" xfId="19699" xr:uid="{00000000-0005-0000-0000-0000AB010000}"/>
    <cellStyle name="20% - Accent1 13 3 4" xfId="5539" xr:uid="{00000000-0005-0000-0000-0000AC010000}"/>
    <cellStyle name="20% - Accent1 13 3 4 2" xfId="13523" xr:uid="{00000000-0005-0000-0000-0000AD010000}"/>
    <cellStyle name="20% - Accent1 13 3 4 3" xfId="21471" xr:uid="{00000000-0005-0000-0000-0000AE010000}"/>
    <cellStyle name="20% - Accent1 13 3 5" xfId="9092" xr:uid="{00000000-0005-0000-0000-0000AF010000}"/>
    <cellStyle name="20% - Accent1 13 3 5 2" xfId="17050" xr:uid="{00000000-0005-0000-0000-0000B0010000}"/>
    <cellStyle name="20% - Accent1 13 3 5 3" xfId="24994" xr:uid="{00000000-0005-0000-0000-0000B1010000}"/>
    <cellStyle name="20% - Accent1 13 3 6" xfId="9988" xr:uid="{00000000-0005-0000-0000-0000B2010000}"/>
    <cellStyle name="20% - Accent1 13 3 7" xfId="17943" xr:uid="{00000000-0005-0000-0000-0000B3010000}"/>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3" xfId="24103" xr:uid="{00000000-0005-0000-0000-0000B9010000}"/>
    <cellStyle name="20% - Accent1 13 4 2 3" xfId="12619" xr:uid="{00000000-0005-0000-0000-0000BA010000}"/>
    <cellStyle name="20% - Accent1 13 4 2 4" xfId="20574" xr:uid="{00000000-0005-0000-0000-0000BB010000}"/>
    <cellStyle name="20% - Accent1 13 4 3" xfId="6427" xr:uid="{00000000-0005-0000-0000-0000BC010000}"/>
    <cellStyle name="20% - Accent1 13 4 3 2" xfId="14399" xr:uid="{00000000-0005-0000-0000-0000BD010000}"/>
    <cellStyle name="20% - Accent1 13 4 3 3" xfId="22346" xr:uid="{00000000-0005-0000-0000-0000BE010000}"/>
    <cellStyle name="20% - Accent1 13 4 4" xfId="10863" xr:uid="{00000000-0005-0000-0000-0000BF010000}"/>
    <cellStyle name="20% - Accent1 13 4 5" xfId="18818" xr:uid="{00000000-0005-0000-0000-0000C0010000}"/>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3" xfId="23225" xr:uid="{00000000-0005-0000-0000-0000C5010000}"/>
    <cellStyle name="20% - Accent1 13 5 3" xfId="11741" xr:uid="{00000000-0005-0000-0000-0000C6010000}"/>
    <cellStyle name="20% - Accent1 13 5 4" xfId="19696" xr:uid="{00000000-0005-0000-0000-0000C7010000}"/>
    <cellStyle name="20% - Accent1 13 6" xfId="5536" xr:uid="{00000000-0005-0000-0000-0000C8010000}"/>
    <cellStyle name="20% - Accent1 13 6 2" xfId="13520" xr:uid="{00000000-0005-0000-0000-0000C9010000}"/>
    <cellStyle name="20% - Accent1 13 6 3" xfId="21468" xr:uid="{00000000-0005-0000-0000-0000CA010000}"/>
    <cellStyle name="20% - Accent1 13 7" xfId="9089" xr:uid="{00000000-0005-0000-0000-0000CB010000}"/>
    <cellStyle name="20% - Accent1 13 7 2" xfId="17047" xr:uid="{00000000-0005-0000-0000-0000CC010000}"/>
    <cellStyle name="20% - Accent1 13 7 3" xfId="24991" xr:uid="{00000000-0005-0000-0000-0000CD010000}"/>
    <cellStyle name="20% - Accent1 13 8" xfId="9985" xr:uid="{00000000-0005-0000-0000-0000CE010000}"/>
    <cellStyle name="20% - Accent1 13 9" xfId="17940" xr:uid="{00000000-0005-0000-0000-0000CF010000}"/>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3" xfId="24108" xr:uid="{00000000-0005-0000-0000-0000D7010000}"/>
    <cellStyle name="20% - Accent1 14 2 2 2 3" xfId="12624" xr:uid="{00000000-0005-0000-0000-0000D8010000}"/>
    <cellStyle name="20% - Accent1 14 2 2 2 4" xfId="20579" xr:uid="{00000000-0005-0000-0000-0000D9010000}"/>
    <cellStyle name="20% - Accent1 14 2 2 3" xfId="6432" xr:uid="{00000000-0005-0000-0000-0000DA010000}"/>
    <cellStyle name="20% - Accent1 14 2 2 3 2" xfId="14404" xr:uid="{00000000-0005-0000-0000-0000DB010000}"/>
    <cellStyle name="20% - Accent1 14 2 2 3 3" xfId="22351" xr:uid="{00000000-0005-0000-0000-0000DC010000}"/>
    <cellStyle name="20% - Accent1 14 2 2 4" xfId="10868" xr:uid="{00000000-0005-0000-0000-0000DD010000}"/>
    <cellStyle name="20% - Accent1 14 2 2 5" xfId="18823" xr:uid="{00000000-0005-0000-0000-0000DE010000}"/>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3" xfId="23230" xr:uid="{00000000-0005-0000-0000-0000E3010000}"/>
    <cellStyle name="20% - Accent1 14 2 3 3" xfId="11746" xr:uid="{00000000-0005-0000-0000-0000E4010000}"/>
    <cellStyle name="20% - Accent1 14 2 3 4" xfId="19701" xr:uid="{00000000-0005-0000-0000-0000E5010000}"/>
    <cellStyle name="20% - Accent1 14 2 4" xfId="5541" xr:uid="{00000000-0005-0000-0000-0000E6010000}"/>
    <cellStyle name="20% - Accent1 14 2 4 2" xfId="13525" xr:uid="{00000000-0005-0000-0000-0000E7010000}"/>
    <cellStyle name="20% - Accent1 14 2 4 3" xfId="21473" xr:uid="{00000000-0005-0000-0000-0000E8010000}"/>
    <cellStyle name="20% - Accent1 14 2 5" xfId="9094" xr:uid="{00000000-0005-0000-0000-0000E9010000}"/>
    <cellStyle name="20% - Accent1 14 2 5 2" xfId="17052" xr:uid="{00000000-0005-0000-0000-0000EA010000}"/>
    <cellStyle name="20% - Accent1 14 2 5 3" xfId="24996" xr:uid="{00000000-0005-0000-0000-0000EB010000}"/>
    <cellStyle name="20% - Accent1 14 2 6" xfId="9990" xr:uid="{00000000-0005-0000-0000-0000EC010000}"/>
    <cellStyle name="20% - Accent1 14 2 7" xfId="17945" xr:uid="{00000000-0005-0000-0000-0000ED010000}"/>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3" xfId="24107" xr:uid="{00000000-0005-0000-0000-0000F3010000}"/>
    <cellStyle name="20% - Accent1 14 3 2 3" xfId="12623" xr:uid="{00000000-0005-0000-0000-0000F4010000}"/>
    <cellStyle name="20% - Accent1 14 3 2 4" xfId="20578" xr:uid="{00000000-0005-0000-0000-0000F5010000}"/>
    <cellStyle name="20% - Accent1 14 3 3" xfId="6431" xr:uid="{00000000-0005-0000-0000-0000F6010000}"/>
    <cellStyle name="20% - Accent1 14 3 3 2" xfId="14403" xr:uid="{00000000-0005-0000-0000-0000F7010000}"/>
    <cellStyle name="20% - Accent1 14 3 3 3" xfId="22350" xr:uid="{00000000-0005-0000-0000-0000F8010000}"/>
    <cellStyle name="20% - Accent1 14 3 4" xfId="10867" xr:uid="{00000000-0005-0000-0000-0000F9010000}"/>
    <cellStyle name="20% - Accent1 14 3 5" xfId="18822" xr:uid="{00000000-0005-0000-0000-0000FA010000}"/>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3" xfId="23229" xr:uid="{00000000-0005-0000-0000-0000FF010000}"/>
    <cellStyle name="20% - Accent1 14 4 3" xfId="11745" xr:uid="{00000000-0005-0000-0000-000000020000}"/>
    <cellStyle name="20% - Accent1 14 4 4" xfId="19700" xr:uid="{00000000-0005-0000-0000-000001020000}"/>
    <cellStyle name="20% - Accent1 14 5" xfId="5540" xr:uid="{00000000-0005-0000-0000-000002020000}"/>
    <cellStyle name="20% - Accent1 14 5 2" xfId="13524" xr:uid="{00000000-0005-0000-0000-000003020000}"/>
    <cellStyle name="20% - Accent1 14 5 3" xfId="21472" xr:uid="{00000000-0005-0000-0000-000004020000}"/>
    <cellStyle name="20% - Accent1 14 6" xfId="9093" xr:uid="{00000000-0005-0000-0000-000005020000}"/>
    <cellStyle name="20% - Accent1 14 6 2" xfId="17051" xr:uid="{00000000-0005-0000-0000-000006020000}"/>
    <cellStyle name="20% - Accent1 14 6 3" xfId="24995" xr:uid="{00000000-0005-0000-0000-000007020000}"/>
    <cellStyle name="20% - Accent1 14 7" xfId="9989" xr:uid="{00000000-0005-0000-0000-000008020000}"/>
    <cellStyle name="20% - Accent1 14 8" xfId="17944" xr:uid="{00000000-0005-0000-0000-000009020000}"/>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3" xfId="24109" xr:uid="{00000000-0005-0000-0000-000010020000}"/>
    <cellStyle name="20% - Accent1 15 2 2 3" xfId="12625" xr:uid="{00000000-0005-0000-0000-000011020000}"/>
    <cellStyle name="20% - Accent1 15 2 2 4" xfId="20580" xr:uid="{00000000-0005-0000-0000-000012020000}"/>
    <cellStyle name="20% - Accent1 15 2 3" xfId="6433" xr:uid="{00000000-0005-0000-0000-000013020000}"/>
    <cellStyle name="20% - Accent1 15 2 3 2" xfId="14405" xr:uid="{00000000-0005-0000-0000-000014020000}"/>
    <cellStyle name="20% - Accent1 15 2 3 3" xfId="22352" xr:uid="{00000000-0005-0000-0000-000015020000}"/>
    <cellStyle name="20% - Accent1 15 2 4" xfId="10869" xr:uid="{00000000-0005-0000-0000-000016020000}"/>
    <cellStyle name="20% - Accent1 15 2 5" xfId="18824" xr:uid="{00000000-0005-0000-0000-00001702000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3" xfId="23231" xr:uid="{00000000-0005-0000-0000-00001C020000}"/>
    <cellStyle name="20% - Accent1 15 3 3" xfId="11747" xr:uid="{00000000-0005-0000-0000-00001D020000}"/>
    <cellStyle name="20% - Accent1 15 3 4" xfId="19702" xr:uid="{00000000-0005-0000-0000-00001E020000}"/>
    <cellStyle name="20% - Accent1 15 4" xfId="5542" xr:uid="{00000000-0005-0000-0000-00001F020000}"/>
    <cellStyle name="20% - Accent1 15 4 2" xfId="13526" xr:uid="{00000000-0005-0000-0000-000020020000}"/>
    <cellStyle name="20% - Accent1 15 4 3" xfId="21474" xr:uid="{00000000-0005-0000-0000-000021020000}"/>
    <cellStyle name="20% - Accent1 15 5" xfId="9095" xr:uid="{00000000-0005-0000-0000-000022020000}"/>
    <cellStyle name="20% - Accent1 15 5 2" xfId="17053" xr:uid="{00000000-0005-0000-0000-000023020000}"/>
    <cellStyle name="20% - Accent1 15 5 3" xfId="24997" xr:uid="{00000000-0005-0000-0000-000024020000}"/>
    <cellStyle name="20% - Accent1 15 6" xfId="9991" xr:uid="{00000000-0005-0000-0000-000025020000}"/>
    <cellStyle name="20% - Accent1 15 7" xfId="17946" xr:uid="{00000000-0005-0000-0000-000026020000}"/>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3" xfId="24811" xr:uid="{00000000-0005-0000-0000-00002D020000}"/>
    <cellStyle name="20% - Accent1 16 2 2 3" xfId="13327" xr:uid="{00000000-0005-0000-0000-00002E020000}"/>
    <cellStyle name="20% - Accent1 16 2 2 4" xfId="21282" xr:uid="{00000000-0005-0000-0000-00002F020000}"/>
    <cellStyle name="20% - Accent1 16 2 3" xfId="7135" xr:uid="{00000000-0005-0000-0000-000030020000}"/>
    <cellStyle name="20% - Accent1 16 2 3 2" xfId="15107" xr:uid="{00000000-0005-0000-0000-000031020000}"/>
    <cellStyle name="20% - Accent1 16 2 3 3" xfId="23054" xr:uid="{00000000-0005-0000-0000-000032020000}"/>
    <cellStyle name="20% - Accent1 16 2 4" xfId="11571" xr:uid="{00000000-0005-0000-0000-000033020000}"/>
    <cellStyle name="20% - Accent1 16 2 5" xfId="19526" xr:uid="{00000000-0005-0000-0000-000034020000}"/>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3" xfId="23933" xr:uid="{00000000-0005-0000-0000-000039020000}"/>
    <cellStyle name="20% - Accent1 16 3 3" xfId="12449" xr:uid="{00000000-0005-0000-0000-00003A020000}"/>
    <cellStyle name="20% - Accent1 16 3 4" xfId="20404" xr:uid="{00000000-0005-0000-0000-00003B020000}"/>
    <cellStyle name="20% - Accent1 16 4" xfId="6254" xr:uid="{00000000-0005-0000-0000-00003C020000}"/>
    <cellStyle name="20% - Accent1 16 4 2" xfId="14229" xr:uid="{00000000-0005-0000-0000-00003D020000}"/>
    <cellStyle name="20% - Accent1 16 4 3" xfId="22176" xr:uid="{00000000-0005-0000-0000-00003E020000}"/>
    <cellStyle name="20% - Accent1 16 5" xfId="9797" xr:uid="{00000000-0005-0000-0000-00003F020000}"/>
    <cellStyle name="20% - Accent1 16 5 2" xfId="17755" xr:uid="{00000000-0005-0000-0000-000040020000}"/>
    <cellStyle name="20% - Accent1 16 5 3" xfId="25699" xr:uid="{00000000-0005-0000-0000-000041020000}"/>
    <cellStyle name="20% - Accent1 16 6" xfId="10693" xr:uid="{00000000-0005-0000-0000-000042020000}"/>
    <cellStyle name="20% - Accent1 16 7" xfId="18648" xr:uid="{00000000-0005-0000-0000-000043020000}"/>
    <cellStyle name="20% - Accent1 16_Exh G" xfId="1979" xr:uid="{00000000-0005-0000-0000-000044020000}"/>
    <cellStyle name="20% - Accent1 2" xfId="44" xr:uid="{00000000-0005-0000-0000-000045020000}"/>
    <cellStyle name="20% - Accent1 2 10" xfId="17947" xr:uid="{00000000-0005-0000-0000-000046020000}"/>
    <cellStyle name="20% - Accent1 2 2" xfId="45" xr:uid="{00000000-0005-0000-0000-000047020000}"/>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3" xfId="24112" xr:uid="{00000000-0005-0000-0000-00004D020000}"/>
    <cellStyle name="20% - Accent1 2 2 2 2 2 3" xfId="12628" xr:uid="{00000000-0005-0000-0000-00004E020000}"/>
    <cellStyle name="20% - Accent1 2 2 2 2 2 4" xfId="20583" xr:uid="{00000000-0005-0000-0000-00004F020000}"/>
    <cellStyle name="20% - Accent1 2 2 2 2 3" xfId="6436" xr:uid="{00000000-0005-0000-0000-000050020000}"/>
    <cellStyle name="20% - Accent1 2 2 2 2 3 2" xfId="14408" xr:uid="{00000000-0005-0000-0000-000051020000}"/>
    <cellStyle name="20% - Accent1 2 2 2 2 3 3" xfId="22355" xr:uid="{00000000-0005-0000-0000-000052020000}"/>
    <cellStyle name="20% - Accent1 2 2 2 2 4" xfId="10872" xr:uid="{00000000-0005-0000-0000-000053020000}"/>
    <cellStyle name="20% - Accent1 2 2 2 2 5" xfId="18827" xr:uid="{00000000-0005-0000-0000-000054020000}"/>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3" xfId="23234" xr:uid="{00000000-0005-0000-0000-000059020000}"/>
    <cellStyle name="20% - Accent1 2 2 2 3 3" xfId="11750" xr:uid="{00000000-0005-0000-0000-00005A020000}"/>
    <cellStyle name="20% - Accent1 2 2 2 3 4" xfId="19705" xr:uid="{00000000-0005-0000-0000-00005B020000}"/>
    <cellStyle name="20% - Accent1 2 2 2 4" xfId="5545" xr:uid="{00000000-0005-0000-0000-00005C020000}"/>
    <cellStyle name="20% - Accent1 2 2 2 4 2" xfId="13529" xr:uid="{00000000-0005-0000-0000-00005D020000}"/>
    <cellStyle name="20% - Accent1 2 2 2 4 3" xfId="21477" xr:uid="{00000000-0005-0000-0000-00005E020000}"/>
    <cellStyle name="20% - Accent1 2 2 2 5" xfId="9098" xr:uid="{00000000-0005-0000-0000-00005F020000}"/>
    <cellStyle name="20% - Accent1 2 2 2 5 2" xfId="17056" xr:uid="{00000000-0005-0000-0000-000060020000}"/>
    <cellStyle name="20% - Accent1 2 2 2 5 3" xfId="25000" xr:uid="{00000000-0005-0000-0000-000061020000}"/>
    <cellStyle name="20% - Accent1 2 2 2 6" xfId="9994" xr:uid="{00000000-0005-0000-0000-000062020000}"/>
    <cellStyle name="20% - Accent1 2 2 2 7" xfId="17949" xr:uid="{00000000-0005-0000-0000-000063020000}"/>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3" xfId="24826" xr:uid="{00000000-0005-0000-0000-00006A020000}"/>
    <cellStyle name="20% - Accent1 2 2 3 2 2 3" xfId="13342" xr:uid="{00000000-0005-0000-0000-00006B020000}"/>
    <cellStyle name="20% - Accent1 2 2 3 2 2 4" xfId="21297" xr:uid="{00000000-0005-0000-0000-00006C020000}"/>
    <cellStyle name="20% - Accent1 2 2 3 2 3" xfId="7150" xr:uid="{00000000-0005-0000-0000-00006D020000}"/>
    <cellStyle name="20% - Accent1 2 2 3 2 3 2" xfId="15122" xr:uid="{00000000-0005-0000-0000-00006E020000}"/>
    <cellStyle name="20% - Accent1 2 2 3 2 3 3" xfId="23069" xr:uid="{00000000-0005-0000-0000-00006F020000}"/>
    <cellStyle name="20% - Accent1 2 2 3 2 4" xfId="11586" xr:uid="{00000000-0005-0000-0000-000070020000}"/>
    <cellStyle name="20% - Accent1 2 2 3 2 5" xfId="19541" xr:uid="{00000000-0005-0000-0000-000071020000}"/>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3" xfId="23948" xr:uid="{00000000-0005-0000-0000-000076020000}"/>
    <cellStyle name="20% - Accent1 2 2 3 3 3" xfId="12464" xr:uid="{00000000-0005-0000-0000-000077020000}"/>
    <cellStyle name="20% - Accent1 2 2 3 3 4" xfId="20419" xr:uid="{00000000-0005-0000-0000-000078020000}"/>
    <cellStyle name="20% - Accent1 2 2 3 4" xfId="6269" xr:uid="{00000000-0005-0000-0000-000079020000}"/>
    <cellStyle name="20% - Accent1 2 2 3 4 2" xfId="14244" xr:uid="{00000000-0005-0000-0000-00007A020000}"/>
    <cellStyle name="20% - Accent1 2 2 3 4 3" xfId="22191" xr:uid="{00000000-0005-0000-0000-00007B020000}"/>
    <cellStyle name="20% - Accent1 2 2 3 5" xfId="9812" xr:uid="{00000000-0005-0000-0000-00007C020000}"/>
    <cellStyle name="20% - Accent1 2 2 3 5 2" xfId="17770" xr:uid="{00000000-0005-0000-0000-00007D020000}"/>
    <cellStyle name="20% - Accent1 2 2 3 5 3" xfId="25714" xr:uid="{00000000-0005-0000-0000-00007E020000}"/>
    <cellStyle name="20% - Accent1 2 2 3 6" xfId="10708" xr:uid="{00000000-0005-0000-0000-00007F020000}"/>
    <cellStyle name="20% - Accent1 2 2 3 7" xfId="18663" xr:uid="{00000000-0005-0000-0000-000080020000}"/>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3" xfId="24111" xr:uid="{00000000-0005-0000-0000-000086020000}"/>
    <cellStyle name="20% - Accent1 2 2 4 2 3" xfId="12627" xr:uid="{00000000-0005-0000-0000-000087020000}"/>
    <cellStyle name="20% - Accent1 2 2 4 2 4" xfId="20582" xr:uid="{00000000-0005-0000-0000-000088020000}"/>
    <cellStyle name="20% - Accent1 2 2 4 3" xfId="6435" xr:uid="{00000000-0005-0000-0000-000089020000}"/>
    <cellStyle name="20% - Accent1 2 2 4 3 2" xfId="14407" xr:uid="{00000000-0005-0000-0000-00008A020000}"/>
    <cellStyle name="20% - Accent1 2 2 4 3 3" xfId="22354" xr:uid="{00000000-0005-0000-0000-00008B020000}"/>
    <cellStyle name="20% - Accent1 2 2 4 4" xfId="10871" xr:uid="{00000000-0005-0000-0000-00008C020000}"/>
    <cellStyle name="20% - Accent1 2 2 4 5" xfId="18826" xr:uid="{00000000-0005-0000-0000-00008D020000}"/>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3" xfId="23233" xr:uid="{00000000-0005-0000-0000-000092020000}"/>
    <cellStyle name="20% - Accent1 2 2 5 3" xfId="11749" xr:uid="{00000000-0005-0000-0000-000093020000}"/>
    <cellStyle name="20% - Accent1 2 2 5 4" xfId="19704" xr:uid="{00000000-0005-0000-0000-000094020000}"/>
    <cellStyle name="20% - Accent1 2 2 6" xfId="5544" xr:uid="{00000000-0005-0000-0000-000095020000}"/>
    <cellStyle name="20% - Accent1 2 2 6 2" xfId="13528" xr:uid="{00000000-0005-0000-0000-000096020000}"/>
    <cellStyle name="20% - Accent1 2 2 6 3" xfId="21476" xr:uid="{00000000-0005-0000-0000-000097020000}"/>
    <cellStyle name="20% - Accent1 2 2 7" xfId="9097" xr:uid="{00000000-0005-0000-0000-000098020000}"/>
    <cellStyle name="20% - Accent1 2 2 7 2" xfId="17055" xr:uid="{00000000-0005-0000-0000-000099020000}"/>
    <cellStyle name="20% - Accent1 2 2 7 3" xfId="24999" xr:uid="{00000000-0005-0000-0000-00009A020000}"/>
    <cellStyle name="20% - Accent1 2 2 8" xfId="9993" xr:uid="{00000000-0005-0000-0000-00009B020000}"/>
    <cellStyle name="20% - Accent1 2 2 9" xfId="17948" xr:uid="{00000000-0005-0000-0000-00009C020000}"/>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3" xfId="24113" xr:uid="{00000000-0005-0000-0000-0000A3020000}"/>
    <cellStyle name="20% - Accent1 2 3 2 2 3" xfId="12629" xr:uid="{00000000-0005-0000-0000-0000A4020000}"/>
    <cellStyle name="20% - Accent1 2 3 2 2 4" xfId="20584" xr:uid="{00000000-0005-0000-0000-0000A5020000}"/>
    <cellStyle name="20% - Accent1 2 3 2 3" xfId="6437" xr:uid="{00000000-0005-0000-0000-0000A6020000}"/>
    <cellStyle name="20% - Accent1 2 3 2 3 2" xfId="14409" xr:uid="{00000000-0005-0000-0000-0000A7020000}"/>
    <cellStyle name="20% - Accent1 2 3 2 3 3" xfId="22356" xr:uid="{00000000-0005-0000-0000-0000A8020000}"/>
    <cellStyle name="20% - Accent1 2 3 2 4" xfId="10873" xr:uid="{00000000-0005-0000-0000-0000A9020000}"/>
    <cellStyle name="20% - Accent1 2 3 2 5" xfId="18828" xr:uid="{00000000-0005-0000-0000-0000AA020000}"/>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3" xfId="23235" xr:uid="{00000000-0005-0000-0000-0000AF020000}"/>
    <cellStyle name="20% - Accent1 2 3 3 3" xfId="11751" xr:uid="{00000000-0005-0000-0000-0000B0020000}"/>
    <cellStyle name="20% - Accent1 2 3 3 4" xfId="19706" xr:uid="{00000000-0005-0000-0000-0000B1020000}"/>
    <cellStyle name="20% - Accent1 2 3 4" xfId="5546" xr:uid="{00000000-0005-0000-0000-0000B2020000}"/>
    <cellStyle name="20% - Accent1 2 3 4 2" xfId="13530" xr:uid="{00000000-0005-0000-0000-0000B3020000}"/>
    <cellStyle name="20% - Accent1 2 3 4 3" xfId="21478" xr:uid="{00000000-0005-0000-0000-0000B4020000}"/>
    <cellStyle name="20% - Accent1 2 3 5" xfId="9099" xr:uid="{00000000-0005-0000-0000-0000B5020000}"/>
    <cellStyle name="20% - Accent1 2 3 5 2" xfId="17057" xr:uid="{00000000-0005-0000-0000-0000B6020000}"/>
    <cellStyle name="20% - Accent1 2 3 5 3" xfId="25001" xr:uid="{00000000-0005-0000-0000-0000B7020000}"/>
    <cellStyle name="20% - Accent1 2 3 6" xfId="9995" xr:uid="{00000000-0005-0000-0000-0000B8020000}"/>
    <cellStyle name="20% - Accent1 2 3 7" xfId="17950" xr:uid="{00000000-0005-0000-0000-0000B9020000}"/>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3" xfId="24825" xr:uid="{00000000-0005-0000-0000-0000C0020000}"/>
    <cellStyle name="20% - Accent1 2 4 2 2 3" xfId="13341" xr:uid="{00000000-0005-0000-0000-0000C1020000}"/>
    <cellStyle name="20% - Accent1 2 4 2 2 4" xfId="21296" xr:uid="{00000000-0005-0000-0000-0000C2020000}"/>
    <cellStyle name="20% - Accent1 2 4 2 3" xfId="7149" xr:uid="{00000000-0005-0000-0000-0000C3020000}"/>
    <cellStyle name="20% - Accent1 2 4 2 3 2" xfId="15121" xr:uid="{00000000-0005-0000-0000-0000C4020000}"/>
    <cellStyle name="20% - Accent1 2 4 2 3 3" xfId="23068" xr:uid="{00000000-0005-0000-0000-0000C5020000}"/>
    <cellStyle name="20% - Accent1 2 4 2 4" xfId="11585" xr:uid="{00000000-0005-0000-0000-0000C6020000}"/>
    <cellStyle name="20% - Accent1 2 4 2 5" xfId="19540" xr:uid="{00000000-0005-0000-0000-0000C7020000}"/>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3" xfId="23947" xr:uid="{00000000-0005-0000-0000-0000CC020000}"/>
    <cellStyle name="20% - Accent1 2 4 3 3" xfId="12463" xr:uid="{00000000-0005-0000-0000-0000CD020000}"/>
    <cellStyle name="20% - Accent1 2 4 3 4" xfId="20418" xr:uid="{00000000-0005-0000-0000-0000CE020000}"/>
    <cellStyle name="20% - Accent1 2 4 4" xfId="6268" xr:uid="{00000000-0005-0000-0000-0000CF020000}"/>
    <cellStyle name="20% - Accent1 2 4 4 2" xfId="14243" xr:uid="{00000000-0005-0000-0000-0000D0020000}"/>
    <cellStyle name="20% - Accent1 2 4 4 3" xfId="22190" xr:uid="{00000000-0005-0000-0000-0000D1020000}"/>
    <cellStyle name="20% - Accent1 2 4 5" xfId="9811" xr:uid="{00000000-0005-0000-0000-0000D2020000}"/>
    <cellStyle name="20% - Accent1 2 4 5 2" xfId="17769" xr:uid="{00000000-0005-0000-0000-0000D3020000}"/>
    <cellStyle name="20% - Accent1 2 4 5 3" xfId="25713" xr:uid="{00000000-0005-0000-0000-0000D4020000}"/>
    <cellStyle name="20% - Accent1 2 4 6" xfId="10707" xr:uid="{00000000-0005-0000-0000-0000D5020000}"/>
    <cellStyle name="20% - Accent1 2 4 7" xfId="18662" xr:uid="{00000000-0005-0000-0000-0000D6020000}"/>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3" xfId="24110" xr:uid="{00000000-0005-0000-0000-0000DC020000}"/>
    <cellStyle name="20% - Accent1 2 5 2 3" xfId="12626" xr:uid="{00000000-0005-0000-0000-0000DD020000}"/>
    <cellStyle name="20% - Accent1 2 5 2 4" xfId="20581" xr:uid="{00000000-0005-0000-0000-0000DE020000}"/>
    <cellStyle name="20% - Accent1 2 5 3" xfId="6434" xr:uid="{00000000-0005-0000-0000-0000DF020000}"/>
    <cellStyle name="20% - Accent1 2 5 3 2" xfId="14406" xr:uid="{00000000-0005-0000-0000-0000E0020000}"/>
    <cellStyle name="20% - Accent1 2 5 3 3" xfId="22353" xr:uid="{00000000-0005-0000-0000-0000E1020000}"/>
    <cellStyle name="20% - Accent1 2 5 4" xfId="10870" xr:uid="{00000000-0005-0000-0000-0000E2020000}"/>
    <cellStyle name="20% - Accent1 2 5 5" xfId="18825" xr:uid="{00000000-0005-0000-0000-0000E3020000}"/>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3" xfId="23232" xr:uid="{00000000-0005-0000-0000-0000E8020000}"/>
    <cellStyle name="20% - Accent1 2 6 3" xfId="11748" xr:uid="{00000000-0005-0000-0000-0000E9020000}"/>
    <cellStyle name="20% - Accent1 2 6 4" xfId="19703" xr:uid="{00000000-0005-0000-0000-0000EA020000}"/>
    <cellStyle name="20% - Accent1 2 7" xfId="5543" xr:uid="{00000000-0005-0000-0000-0000EB020000}"/>
    <cellStyle name="20% - Accent1 2 7 2" xfId="13527" xr:uid="{00000000-0005-0000-0000-0000EC020000}"/>
    <cellStyle name="20% - Accent1 2 7 3" xfId="21475" xr:uid="{00000000-0005-0000-0000-0000ED020000}"/>
    <cellStyle name="20% - Accent1 2 8" xfId="9096" xr:uid="{00000000-0005-0000-0000-0000EE020000}"/>
    <cellStyle name="20% - Accent1 2 8 2" xfId="17054" xr:uid="{00000000-0005-0000-0000-0000EF020000}"/>
    <cellStyle name="20% - Accent1 2 8 3" xfId="24998" xr:uid="{00000000-0005-0000-0000-0000F0020000}"/>
    <cellStyle name="20% - Accent1 2 9" xfId="9992" xr:uid="{00000000-0005-0000-0000-0000F1020000}"/>
    <cellStyle name="20% - Accent1 2_Exh G" xfId="1981" xr:uid="{00000000-0005-0000-0000-0000F2020000}"/>
    <cellStyle name="20% - Accent1 3" xfId="48" xr:uid="{00000000-0005-0000-0000-0000F3020000}"/>
    <cellStyle name="20% - Accent1 3 10" xfId="17951" xr:uid="{00000000-0005-0000-0000-0000F4020000}"/>
    <cellStyle name="20% - Accent1 3 2" xfId="49" xr:uid="{00000000-0005-0000-0000-0000F5020000}"/>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3" xfId="24116" xr:uid="{00000000-0005-0000-0000-0000FB020000}"/>
    <cellStyle name="20% - Accent1 3 2 2 2 2 3" xfId="12632" xr:uid="{00000000-0005-0000-0000-0000FC020000}"/>
    <cellStyle name="20% - Accent1 3 2 2 2 2 4" xfId="20587" xr:uid="{00000000-0005-0000-0000-0000FD020000}"/>
    <cellStyle name="20% - Accent1 3 2 2 2 3" xfId="6440" xr:uid="{00000000-0005-0000-0000-0000FE020000}"/>
    <cellStyle name="20% - Accent1 3 2 2 2 3 2" xfId="14412" xr:uid="{00000000-0005-0000-0000-0000FF020000}"/>
    <cellStyle name="20% - Accent1 3 2 2 2 3 3" xfId="22359" xr:uid="{00000000-0005-0000-0000-000000030000}"/>
    <cellStyle name="20% - Accent1 3 2 2 2 4" xfId="10876" xr:uid="{00000000-0005-0000-0000-000001030000}"/>
    <cellStyle name="20% - Accent1 3 2 2 2 5" xfId="18831" xr:uid="{00000000-0005-0000-0000-000002030000}"/>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3" xfId="23238" xr:uid="{00000000-0005-0000-0000-000007030000}"/>
    <cellStyle name="20% - Accent1 3 2 2 3 3" xfId="11754" xr:uid="{00000000-0005-0000-0000-000008030000}"/>
    <cellStyle name="20% - Accent1 3 2 2 3 4" xfId="19709" xr:uid="{00000000-0005-0000-0000-000009030000}"/>
    <cellStyle name="20% - Accent1 3 2 2 4" xfId="5549" xr:uid="{00000000-0005-0000-0000-00000A030000}"/>
    <cellStyle name="20% - Accent1 3 2 2 4 2" xfId="13533" xr:uid="{00000000-0005-0000-0000-00000B030000}"/>
    <cellStyle name="20% - Accent1 3 2 2 4 3" xfId="21481" xr:uid="{00000000-0005-0000-0000-00000C030000}"/>
    <cellStyle name="20% - Accent1 3 2 2 5" xfId="9102" xr:uid="{00000000-0005-0000-0000-00000D030000}"/>
    <cellStyle name="20% - Accent1 3 2 2 5 2" xfId="17060" xr:uid="{00000000-0005-0000-0000-00000E030000}"/>
    <cellStyle name="20% - Accent1 3 2 2 5 3" xfId="25004" xr:uid="{00000000-0005-0000-0000-00000F030000}"/>
    <cellStyle name="20% - Accent1 3 2 2 6" xfId="9998" xr:uid="{00000000-0005-0000-0000-000010030000}"/>
    <cellStyle name="20% - Accent1 3 2 2 7" xfId="17953" xr:uid="{00000000-0005-0000-0000-000011030000}"/>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3" xfId="24828" xr:uid="{00000000-0005-0000-0000-000018030000}"/>
    <cellStyle name="20% - Accent1 3 2 3 2 2 3" xfId="13344" xr:uid="{00000000-0005-0000-0000-000019030000}"/>
    <cellStyle name="20% - Accent1 3 2 3 2 2 4" xfId="21299" xr:uid="{00000000-0005-0000-0000-00001A030000}"/>
    <cellStyle name="20% - Accent1 3 2 3 2 3" xfId="7152" xr:uid="{00000000-0005-0000-0000-00001B030000}"/>
    <cellStyle name="20% - Accent1 3 2 3 2 3 2" xfId="15124" xr:uid="{00000000-0005-0000-0000-00001C030000}"/>
    <cellStyle name="20% - Accent1 3 2 3 2 3 3" xfId="23071" xr:uid="{00000000-0005-0000-0000-00001D030000}"/>
    <cellStyle name="20% - Accent1 3 2 3 2 4" xfId="11588" xr:uid="{00000000-0005-0000-0000-00001E030000}"/>
    <cellStyle name="20% - Accent1 3 2 3 2 5" xfId="19543" xr:uid="{00000000-0005-0000-0000-00001F030000}"/>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3" xfId="23950" xr:uid="{00000000-0005-0000-0000-000024030000}"/>
    <cellStyle name="20% - Accent1 3 2 3 3 3" xfId="12466" xr:uid="{00000000-0005-0000-0000-000025030000}"/>
    <cellStyle name="20% - Accent1 3 2 3 3 4" xfId="20421" xr:uid="{00000000-0005-0000-0000-000026030000}"/>
    <cellStyle name="20% - Accent1 3 2 3 4" xfId="6271" xr:uid="{00000000-0005-0000-0000-000027030000}"/>
    <cellStyle name="20% - Accent1 3 2 3 4 2" xfId="14246" xr:uid="{00000000-0005-0000-0000-000028030000}"/>
    <cellStyle name="20% - Accent1 3 2 3 4 3" xfId="22193" xr:uid="{00000000-0005-0000-0000-000029030000}"/>
    <cellStyle name="20% - Accent1 3 2 3 5" xfId="9814" xr:uid="{00000000-0005-0000-0000-00002A030000}"/>
    <cellStyle name="20% - Accent1 3 2 3 5 2" xfId="17772" xr:uid="{00000000-0005-0000-0000-00002B030000}"/>
    <cellStyle name="20% - Accent1 3 2 3 5 3" xfId="25716" xr:uid="{00000000-0005-0000-0000-00002C030000}"/>
    <cellStyle name="20% - Accent1 3 2 3 6" xfId="10710" xr:uid="{00000000-0005-0000-0000-00002D030000}"/>
    <cellStyle name="20% - Accent1 3 2 3 7" xfId="18665" xr:uid="{00000000-0005-0000-0000-00002E030000}"/>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3" xfId="24115" xr:uid="{00000000-0005-0000-0000-000034030000}"/>
    <cellStyle name="20% - Accent1 3 2 4 2 3" xfId="12631" xr:uid="{00000000-0005-0000-0000-000035030000}"/>
    <cellStyle name="20% - Accent1 3 2 4 2 4" xfId="20586" xr:uid="{00000000-0005-0000-0000-000036030000}"/>
    <cellStyle name="20% - Accent1 3 2 4 3" xfId="6439" xr:uid="{00000000-0005-0000-0000-000037030000}"/>
    <cellStyle name="20% - Accent1 3 2 4 3 2" xfId="14411" xr:uid="{00000000-0005-0000-0000-000038030000}"/>
    <cellStyle name="20% - Accent1 3 2 4 3 3" xfId="22358" xr:uid="{00000000-0005-0000-0000-000039030000}"/>
    <cellStyle name="20% - Accent1 3 2 4 4" xfId="10875" xr:uid="{00000000-0005-0000-0000-00003A030000}"/>
    <cellStyle name="20% - Accent1 3 2 4 5" xfId="18830" xr:uid="{00000000-0005-0000-0000-00003B030000}"/>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3" xfId="23237" xr:uid="{00000000-0005-0000-0000-000040030000}"/>
    <cellStyle name="20% - Accent1 3 2 5 3" xfId="11753" xr:uid="{00000000-0005-0000-0000-000041030000}"/>
    <cellStyle name="20% - Accent1 3 2 5 4" xfId="19708" xr:uid="{00000000-0005-0000-0000-000042030000}"/>
    <cellStyle name="20% - Accent1 3 2 6" xfId="5548" xr:uid="{00000000-0005-0000-0000-000043030000}"/>
    <cellStyle name="20% - Accent1 3 2 6 2" xfId="13532" xr:uid="{00000000-0005-0000-0000-000044030000}"/>
    <cellStyle name="20% - Accent1 3 2 6 3" xfId="21480" xr:uid="{00000000-0005-0000-0000-000045030000}"/>
    <cellStyle name="20% - Accent1 3 2 7" xfId="9101" xr:uid="{00000000-0005-0000-0000-000046030000}"/>
    <cellStyle name="20% - Accent1 3 2 7 2" xfId="17059" xr:uid="{00000000-0005-0000-0000-000047030000}"/>
    <cellStyle name="20% - Accent1 3 2 7 3" xfId="25003" xr:uid="{00000000-0005-0000-0000-000048030000}"/>
    <cellStyle name="20% - Accent1 3 2 8" xfId="9997" xr:uid="{00000000-0005-0000-0000-000049030000}"/>
    <cellStyle name="20% - Accent1 3 2 9" xfId="17952" xr:uid="{00000000-0005-0000-0000-00004A030000}"/>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3" xfId="24117" xr:uid="{00000000-0005-0000-0000-000051030000}"/>
    <cellStyle name="20% - Accent1 3 3 2 2 3" xfId="12633" xr:uid="{00000000-0005-0000-0000-000052030000}"/>
    <cellStyle name="20% - Accent1 3 3 2 2 4" xfId="20588" xr:uid="{00000000-0005-0000-0000-000053030000}"/>
    <cellStyle name="20% - Accent1 3 3 2 3" xfId="6441" xr:uid="{00000000-0005-0000-0000-000054030000}"/>
    <cellStyle name="20% - Accent1 3 3 2 3 2" xfId="14413" xr:uid="{00000000-0005-0000-0000-000055030000}"/>
    <cellStyle name="20% - Accent1 3 3 2 3 3" xfId="22360" xr:uid="{00000000-0005-0000-0000-000056030000}"/>
    <cellStyle name="20% - Accent1 3 3 2 4" xfId="10877" xr:uid="{00000000-0005-0000-0000-000057030000}"/>
    <cellStyle name="20% - Accent1 3 3 2 5" xfId="18832" xr:uid="{00000000-0005-0000-0000-000058030000}"/>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3" xfId="23239" xr:uid="{00000000-0005-0000-0000-00005D030000}"/>
    <cellStyle name="20% - Accent1 3 3 3 3" xfId="11755" xr:uid="{00000000-0005-0000-0000-00005E030000}"/>
    <cellStyle name="20% - Accent1 3 3 3 4" xfId="19710" xr:uid="{00000000-0005-0000-0000-00005F030000}"/>
    <cellStyle name="20% - Accent1 3 3 4" xfId="5550" xr:uid="{00000000-0005-0000-0000-000060030000}"/>
    <cellStyle name="20% - Accent1 3 3 4 2" xfId="13534" xr:uid="{00000000-0005-0000-0000-000061030000}"/>
    <cellStyle name="20% - Accent1 3 3 4 3" xfId="21482" xr:uid="{00000000-0005-0000-0000-000062030000}"/>
    <cellStyle name="20% - Accent1 3 3 5" xfId="9103" xr:uid="{00000000-0005-0000-0000-000063030000}"/>
    <cellStyle name="20% - Accent1 3 3 5 2" xfId="17061" xr:uid="{00000000-0005-0000-0000-000064030000}"/>
    <cellStyle name="20% - Accent1 3 3 5 3" xfId="25005" xr:uid="{00000000-0005-0000-0000-000065030000}"/>
    <cellStyle name="20% - Accent1 3 3 6" xfId="9999" xr:uid="{00000000-0005-0000-0000-000066030000}"/>
    <cellStyle name="20% - Accent1 3 3 7" xfId="17954" xr:uid="{00000000-0005-0000-0000-000067030000}"/>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3" xfId="24827" xr:uid="{00000000-0005-0000-0000-00006E030000}"/>
    <cellStyle name="20% - Accent1 3 4 2 2 3" xfId="13343" xr:uid="{00000000-0005-0000-0000-00006F030000}"/>
    <cellStyle name="20% - Accent1 3 4 2 2 4" xfId="21298" xr:uid="{00000000-0005-0000-0000-000070030000}"/>
    <cellStyle name="20% - Accent1 3 4 2 3" xfId="7151" xr:uid="{00000000-0005-0000-0000-000071030000}"/>
    <cellStyle name="20% - Accent1 3 4 2 3 2" xfId="15123" xr:uid="{00000000-0005-0000-0000-000072030000}"/>
    <cellStyle name="20% - Accent1 3 4 2 3 3" xfId="23070" xr:uid="{00000000-0005-0000-0000-000073030000}"/>
    <cellStyle name="20% - Accent1 3 4 2 4" xfId="11587" xr:uid="{00000000-0005-0000-0000-000074030000}"/>
    <cellStyle name="20% - Accent1 3 4 2 5" xfId="19542" xr:uid="{00000000-0005-0000-0000-000075030000}"/>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3" xfId="23949" xr:uid="{00000000-0005-0000-0000-00007A030000}"/>
    <cellStyle name="20% - Accent1 3 4 3 3" xfId="12465" xr:uid="{00000000-0005-0000-0000-00007B030000}"/>
    <cellStyle name="20% - Accent1 3 4 3 4" xfId="20420" xr:uid="{00000000-0005-0000-0000-00007C030000}"/>
    <cellStyle name="20% - Accent1 3 4 4" xfId="6270" xr:uid="{00000000-0005-0000-0000-00007D030000}"/>
    <cellStyle name="20% - Accent1 3 4 4 2" xfId="14245" xr:uid="{00000000-0005-0000-0000-00007E030000}"/>
    <cellStyle name="20% - Accent1 3 4 4 3" xfId="22192" xr:uid="{00000000-0005-0000-0000-00007F030000}"/>
    <cellStyle name="20% - Accent1 3 4 5" xfId="9813" xr:uid="{00000000-0005-0000-0000-000080030000}"/>
    <cellStyle name="20% - Accent1 3 4 5 2" xfId="17771" xr:uid="{00000000-0005-0000-0000-000081030000}"/>
    <cellStyle name="20% - Accent1 3 4 5 3" xfId="25715" xr:uid="{00000000-0005-0000-0000-000082030000}"/>
    <cellStyle name="20% - Accent1 3 4 6" xfId="10709" xr:uid="{00000000-0005-0000-0000-000083030000}"/>
    <cellStyle name="20% - Accent1 3 4 7" xfId="18664" xr:uid="{00000000-0005-0000-0000-000084030000}"/>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3" xfId="24114" xr:uid="{00000000-0005-0000-0000-00008A030000}"/>
    <cellStyle name="20% - Accent1 3 5 2 3" xfId="12630" xr:uid="{00000000-0005-0000-0000-00008B030000}"/>
    <cellStyle name="20% - Accent1 3 5 2 4" xfId="20585" xr:uid="{00000000-0005-0000-0000-00008C030000}"/>
    <cellStyle name="20% - Accent1 3 5 3" xfId="6438" xr:uid="{00000000-0005-0000-0000-00008D030000}"/>
    <cellStyle name="20% - Accent1 3 5 3 2" xfId="14410" xr:uid="{00000000-0005-0000-0000-00008E030000}"/>
    <cellStyle name="20% - Accent1 3 5 3 3" xfId="22357" xr:uid="{00000000-0005-0000-0000-00008F030000}"/>
    <cellStyle name="20% - Accent1 3 5 4" xfId="10874" xr:uid="{00000000-0005-0000-0000-000090030000}"/>
    <cellStyle name="20% - Accent1 3 5 5" xfId="18829" xr:uid="{00000000-0005-0000-0000-00009103000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3" xfId="23236" xr:uid="{00000000-0005-0000-0000-000096030000}"/>
    <cellStyle name="20% - Accent1 3 6 3" xfId="11752" xr:uid="{00000000-0005-0000-0000-000097030000}"/>
    <cellStyle name="20% - Accent1 3 6 4" xfId="19707" xr:uid="{00000000-0005-0000-0000-000098030000}"/>
    <cellStyle name="20% - Accent1 3 7" xfId="5547" xr:uid="{00000000-0005-0000-0000-000099030000}"/>
    <cellStyle name="20% - Accent1 3 7 2" xfId="13531" xr:uid="{00000000-0005-0000-0000-00009A030000}"/>
    <cellStyle name="20% - Accent1 3 7 3" xfId="21479" xr:uid="{00000000-0005-0000-0000-00009B030000}"/>
    <cellStyle name="20% - Accent1 3 8" xfId="9100" xr:uid="{00000000-0005-0000-0000-00009C030000}"/>
    <cellStyle name="20% - Accent1 3 8 2" xfId="17058" xr:uid="{00000000-0005-0000-0000-00009D030000}"/>
    <cellStyle name="20% - Accent1 3 8 3" xfId="25002" xr:uid="{00000000-0005-0000-0000-00009E030000}"/>
    <cellStyle name="20% - Accent1 3 9" xfId="9996" xr:uid="{00000000-0005-0000-0000-00009F030000}"/>
    <cellStyle name="20% - Accent1 3_Exh G" xfId="1993" xr:uid="{00000000-0005-0000-0000-0000A0030000}"/>
    <cellStyle name="20% - Accent1 4" xfId="52" xr:uid="{00000000-0005-0000-0000-0000A1030000}"/>
    <cellStyle name="20% - Accent1 4 10" xfId="17955" xr:uid="{00000000-0005-0000-0000-0000A2030000}"/>
    <cellStyle name="20% - Accent1 4 2" xfId="53" xr:uid="{00000000-0005-0000-0000-0000A3030000}"/>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3" xfId="24120" xr:uid="{00000000-0005-0000-0000-0000A9030000}"/>
    <cellStyle name="20% - Accent1 4 2 2 2 2 3" xfId="12636" xr:uid="{00000000-0005-0000-0000-0000AA030000}"/>
    <cellStyle name="20% - Accent1 4 2 2 2 2 4" xfId="20591" xr:uid="{00000000-0005-0000-0000-0000AB030000}"/>
    <cellStyle name="20% - Accent1 4 2 2 2 3" xfId="6444" xr:uid="{00000000-0005-0000-0000-0000AC030000}"/>
    <cellStyle name="20% - Accent1 4 2 2 2 3 2" xfId="14416" xr:uid="{00000000-0005-0000-0000-0000AD030000}"/>
    <cellStyle name="20% - Accent1 4 2 2 2 3 3" xfId="22363" xr:uid="{00000000-0005-0000-0000-0000AE030000}"/>
    <cellStyle name="20% - Accent1 4 2 2 2 4" xfId="10880" xr:uid="{00000000-0005-0000-0000-0000AF030000}"/>
    <cellStyle name="20% - Accent1 4 2 2 2 5" xfId="18835" xr:uid="{00000000-0005-0000-0000-0000B0030000}"/>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3" xfId="23242" xr:uid="{00000000-0005-0000-0000-0000B5030000}"/>
    <cellStyle name="20% - Accent1 4 2 2 3 3" xfId="11758" xr:uid="{00000000-0005-0000-0000-0000B6030000}"/>
    <cellStyle name="20% - Accent1 4 2 2 3 4" xfId="19713" xr:uid="{00000000-0005-0000-0000-0000B7030000}"/>
    <cellStyle name="20% - Accent1 4 2 2 4" xfId="5553" xr:uid="{00000000-0005-0000-0000-0000B8030000}"/>
    <cellStyle name="20% - Accent1 4 2 2 4 2" xfId="13537" xr:uid="{00000000-0005-0000-0000-0000B9030000}"/>
    <cellStyle name="20% - Accent1 4 2 2 4 3" xfId="21485" xr:uid="{00000000-0005-0000-0000-0000BA030000}"/>
    <cellStyle name="20% - Accent1 4 2 2 5" xfId="9106" xr:uid="{00000000-0005-0000-0000-0000BB030000}"/>
    <cellStyle name="20% - Accent1 4 2 2 5 2" xfId="17064" xr:uid="{00000000-0005-0000-0000-0000BC030000}"/>
    <cellStyle name="20% - Accent1 4 2 2 5 3" xfId="25008" xr:uid="{00000000-0005-0000-0000-0000BD030000}"/>
    <cellStyle name="20% - Accent1 4 2 2 6" xfId="10002" xr:uid="{00000000-0005-0000-0000-0000BE030000}"/>
    <cellStyle name="20% - Accent1 4 2 2 7" xfId="17957" xr:uid="{00000000-0005-0000-0000-0000BF030000}"/>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3" xfId="24830" xr:uid="{00000000-0005-0000-0000-0000C6030000}"/>
    <cellStyle name="20% - Accent1 4 2 3 2 2 3" xfId="13346" xr:uid="{00000000-0005-0000-0000-0000C7030000}"/>
    <cellStyle name="20% - Accent1 4 2 3 2 2 4" xfId="21301" xr:uid="{00000000-0005-0000-0000-0000C8030000}"/>
    <cellStyle name="20% - Accent1 4 2 3 2 3" xfId="7154" xr:uid="{00000000-0005-0000-0000-0000C9030000}"/>
    <cellStyle name="20% - Accent1 4 2 3 2 3 2" xfId="15126" xr:uid="{00000000-0005-0000-0000-0000CA030000}"/>
    <cellStyle name="20% - Accent1 4 2 3 2 3 3" xfId="23073" xr:uid="{00000000-0005-0000-0000-0000CB030000}"/>
    <cellStyle name="20% - Accent1 4 2 3 2 4" xfId="11590" xr:uid="{00000000-0005-0000-0000-0000CC030000}"/>
    <cellStyle name="20% - Accent1 4 2 3 2 5" xfId="19545" xr:uid="{00000000-0005-0000-0000-0000CD030000}"/>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3" xfId="23952" xr:uid="{00000000-0005-0000-0000-0000D2030000}"/>
    <cellStyle name="20% - Accent1 4 2 3 3 3" xfId="12468" xr:uid="{00000000-0005-0000-0000-0000D3030000}"/>
    <cellStyle name="20% - Accent1 4 2 3 3 4" xfId="20423" xr:uid="{00000000-0005-0000-0000-0000D4030000}"/>
    <cellStyle name="20% - Accent1 4 2 3 4" xfId="6273" xr:uid="{00000000-0005-0000-0000-0000D5030000}"/>
    <cellStyle name="20% - Accent1 4 2 3 4 2" xfId="14248" xr:uid="{00000000-0005-0000-0000-0000D6030000}"/>
    <cellStyle name="20% - Accent1 4 2 3 4 3" xfId="22195" xr:uid="{00000000-0005-0000-0000-0000D7030000}"/>
    <cellStyle name="20% - Accent1 4 2 3 5" xfId="9816" xr:uid="{00000000-0005-0000-0000-0000D8030000}"/>
    <cellStyle name="20% - Accent1 4 2 3 5 2" xfId="17774" xr:uid="{00000000-0005-0000-0000-0000D9030000}"/>
    <cellStyle name="20% - Accent1 4 2 3 5 3" xfId="25718" xr:uid="{00000000-0005-0000-0000-0000DA030000}"/>
    <cellStyle name="20% - Accent1 4 2 3 6" xfId="10712" xr:uid="{00000000-0005-0000-0000-0000DB030000}"/>
    <cellStyle name="20% - Accent1 4 2 3 7" xfId="18667" xr:uid="{00000000-0005-0000-0000-0000DC030000}"/>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3" xfId="24119" xr:uid="{00000000-0005-0000-0000-0000E2030000}"/>
    <cellStyle name="20% - Accent1 4 2 4 2 3" xfId="12635" xr:uid="{00000000-0005-0000-0000-0000E3030000}"/>
    <cellStyle name="20% - Accent1 4 2 4 2 4" xfId="20590" xr:uid="{00000000-0005-0000-0000-0000E4030000}"/>
    <cellStyle name="20% - Accent1 4 2 4 3" xfId="6443" xr:uid="{00000000-0005-0000-0000-0000E5030000}"/>
    <cellStyle name="20% - Accent1 4 2 4 3 2" xfId="14415" xr:uid="{00000000-0005-0000-0000-0000E6030000}"/>
    <cellStyle name="20% - Accent1 4 2 4 3 3" xfId="22362" xr:uid="{00000000-0005-0000-0000-0000E7030000}"/>
    <cellStyle name="20% - Accent1 4 2 4 4" xfId="10879" xr:uid="{00000000-0005-0000-0000-0000E8030000}"/>
    <cellStyle name="20% - Accent1 4 2 4 5" xfId="18834" xr:uid="{00000000-0005-0000-0000-0000E9030000}"/>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3" xfId="23241" xr:uid="{00000000-0005-0000-0000-0000EE030000}"/>
    <cellStyle name="20% - Accent1 4 2 5 3" xfId="11757" xr:uid="{00000000-0005-0000-0000-0000EF030000}"/>
    <cellStyle name="20% - Accent1 4 2 5 4" xfId="19712" xr:uid="{00000000-0005-0000-0000-0000F0030000}"/>
    <cellStyle name="20% - Accent1 4 2 6" xfId="5552" xr:uid="{00000000-0005-0000-0000-0000F1030000}"/>
    <cellStyle name="20% - Accent1 4 2 6 2" xfId="13536" xr:uid="{00000000-0005-0000-0000-0000F2030000}"/>
    <cellStyle name="20% - Accent1 4 2 6 3" xfId="21484" xr:uid="{00000000-0005-0000-0000-0000F3030000}"/>
    <cellStyle name="20% - Accent1 4 2 7" xfId="9105" xr:uid="{00000000-0005-0000-0000-0000F4030000}"/>
    <cellStyle name="20% - Accent1 4 2 7 2" xfId="17063" xr:uid="{00000000-0005-0000-0000-0000F5030000}"/>
    <cellStyle name="20% - Accent1 4 2 7 3" xfId="25007" xr:uid="{00000000-0005-0000-0000-0000F6030000}"/>
    <cellStyle name="20% - Accent1 4 2 8" xfId="10001" xr:uid="{00000000-0005-0000-0000-0000F7030000}"/>
    <cellStyle name="20% - Accent1 4 2 9" xfId="17956" xr:uid="{00000000-0005-0000-0000-0000F803000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3" xfId="24121" xr:uid="{00000000-0005-0000-0000-0000FF030000}"/>
    <cellStyle name="20% - Accent1 4 3 2 2 3" xfId="12637" xr:uid="{00000000-0005-0000-0000-000000040000}"/>
    <cellStyle name="20% - Accent1 4 3 2 2 4" xfId="20592" xr:uid="{00000000-0005-0000-0000-000001040000}"/>
    <cellStyle name="20% - Accent1 4 3 2 3" xfId="6445" xr:uid="{00000000-0005-0000-0000-000002040000}"/>
    <cellStyle name="20% - Accent1 4 3 2 3 2" xfId="14417" xr:uid="{00000000-0005-0000-0000-000003040000}"/>
    <cellStyle name="20% - Accent1 4 3 2 3 3" xfId="22364" xr:uid="{00000000-0005-0000-0000-000004040000}"/>
    <cellStyle name="20% - Accent1 4 3 2 4" xfId="10881" xr:uid="{00000000-0005-0000-0000-000005040000}"/>
    <cellStyle name="20% - Accent1 4 3 2 5" xfId="18836" xr:uid="{00000000-0005-0000-0000-000006040000}"/>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3" xfId="23243" xr:uid="{00000000-0005-0000-0000-00000B040000}"/>
    <cellStyle name="20% - Accent1 4 3 3 3" xfId="11759" xr:uid="{00000000-0005-0000-0000-00000C040000}"/>
    <cellStyle name="20% - Accent1 4 3 3 4" xfId="19714" xr:uid="{00000000-0005-0000-0000-00000D040000}"/>
    <cellStyle name="20% - Accent1 4 3 4" xfId="5554" xr:uid="{00000000-0005-0000-0000-00000E040000}"/>
    <cellStyle name="20% - Accent1 4 3 4 2" xfId="13538" xr:uid="{00000000-0005-0000-0000-00000F040000}"/>
    <cellStyle name="20% - Accent1 4 3 4 3" xfId="21486" xr:uid="{00000000-0005-0000-0000-000010040000}"/>
    <cellStyle name="20% - Accent1 4 3 5" xfId="9107" xr:uid="{00000000-0005-0000-0000-000011040000}"/>
    <cellStyle name="20% - Accent1 4 3 5 2" xfId="17065" xr:uid="{00000000-0005-0000-0000-000012040000}"/>
    <cellStyle name="20% - Accent1 4 3 5 3" xfId="25009" xr:uid="{00000000-0005-0000-0000-000013040000}"/>
    <cellStyle name="20% - Accent1 4 3 6" xfId="10003" xr:uid="{00000000-0005-0000-0000-000014040000}"/>
    <cellStyle name="20% - Accent1 4 3 7" xfId="17958" xr:uid="{00000000-0005-0000-0000-000015040000}"/>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3" xfId="24829" xr:uid="{00000000-0005-0000-0000-00001C040000}"/>
    <cellStyle name="20% - Accent1 4 4 2 2 3" xfId="13345" xr:uid="{00000000-0005-0000-0000-00001D040000}"/>
    <cellStyle name="20% - Accent1 4 4 2 2 4" xfId="21300" xr:uid="{00000000-0005-0000-0000-00001E040000}"/>
    <cellStyle name="20% - Accent1 4 4 2 3" xfId="7153" xr:uid="{00000000-0005-0000-0000-00001F040000}"/>
    <cellStyle name="20% - Accent1 4 4 2 3 2" xfId="15125" xr:uid="{00000000-0005-0000-0000-000020040000}"/>
    <cellStyle name="20% - Accent1 4 4 2 3 3" xfId="23072" xr:uid="{00000000-0005-0000-0000-000021040000}"/>
    <cellStyle name="20% - Accent1 4 4 2 4" xfId="11589" xr:uid="{00000000-0005-0000-0000-000022040000}"/>
    <cellStyle name="20% - Accent1 4 4 2 5" xfId="19544" xr:uid="{00000000-0005-0000-0000-000023040000}"/>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3" xfId="23951" xr:uid="{00000000-0005-0000-0000-000028040000}"/>
    <cellStyle name="20% - Accent1 4 4 3 3" xfId="12467" xr:uid="{00000000-0005-0000-0000-000029040000}"/>
    <cellStyle name="20% - Accent1 4 4 3 4" xfId="20422" xr:uid="{00000000-0005-0000-0000-00002A040000}"/>
    <cellStyle name="20% - Accent1 4 4 4" xfId="6272" xr:uid="{00000000-0005-0000-0000-00002B040000}"/>
    <cellStyle name="20% - Accent1 4 4 4 2" xfId="14247" xr:uid="{00000000-0005-0000-0000-00002C040000}"/>
    <cellStyle name="20% - Accent1 4 4 4 3" xfId="22194" xr:uid="{00000000-0005-0000-0000-00002D040000}"/>
    <cellStyle name="20% - Accent1 4 4 5" xfId="9815" xr:uid="{00000000-0005-0000-0000-00002E040000}"/>
    <cellStyle name="20% - Accent1 4 4 5 2" xfId="17773" xr:uid="{00000000-0005-0000-0000-00002F040000}"/>
    <cellStyle name="20% - Accent1 4 4 5 3" xfId="25717" xr:uid="{00000000-0005-0000-0000-000030040000}"/>
    <cellStyle name="20% - Accent1 4 4 6" xfId="10711" xr:uid="{00000000-0005-0000-0000-000031040000}"/>
    <cellStyle name="20% - Accent1 4 4 7" xfId="18666" xr:uid="{00000000-0005-0000-0000-000032040000}"/>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3" xfId="24118" xr:uid="{00000000-0005-0000-0000-000038040000}"/>
    <cellStyle name="20% - Accent1 4 5 2 3" xfId="12634" xr:uid="{00000000-0005-0000-0000-000039040000}"/>
    <cellStyle name="20% - Accent1 4 5 2 4" xfId="20589" xr:uid="{00000000-0005-0000-0000-00003A040000}"/>
    <cellStyle name="20% - Accent1 4 5 3" xfId="6442" xr:uid="{00000000-0005-0000-0000-00003B040000}"/>
    <cellStyle name="20% - Accent1 4 5 3 2" xfId="14414" xr:uid="{00000000-0005-0000-0000-00003C040000}"/>
    <cellStyle name="20% - Accent1 4 5 3 3" xfId="22361" xr:uid="{00000000-0005-0000-0000-00003D040000}"/>
    <cellStyle name="20% - Accent1 4 5 4" xfId="10878" xr:uid="{00000000-0005-0000-0000-00003E040000}"/>
    <cellStyle name="20% - Accent1 4 5 5" xfId="18833" xr:uid="{00000000-0005-0000-0000-00003F040000}"/>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3" xfId="23240" xr:uid="{00000000-0005-0000-0000-000044040000}"/>
    <cellStyle name="20% - Accent1 4 6 3" xfId="11756" xr:uid="{00000000-0005-0000-0000-000045040000}"/>
    <cellStyle name="20% - Accent1 4 6 4" xfId="19711" xr:uid="{00000000-0005-0000-0000-000046040000}"/>
    <cellStyle name="20% - Accent1 4 7" xfId="5551" xr:uid="{00000000-0005-0000-0000-000047040000}"/>
    <cellStyle name="20% - Accent1 4 7 2" xfId="13535" xr:uid="{00000000-0005-0000-0000-000048040000}"/>
    <cellStyle name="20% - Accent1 4 7 3" xfId="21483" xr:uid="{00000000-0005-0000-0000-000049040000}"/>
    <cellStyle name="20% - Accent1 4 8" xfId="9104" xr:uid="{00000000-0005-0000-0000-00004A040000}"/>
    <cellStyle name="20% - Accent1 4 8 2" xfId="17062" xr:uid="{00000000-0005-0000-0000-00004B040000}"/>
    <cellStyle name="20% - Accent1 4 8 3" xfId="25006" xr:uid="{00000000-0005-0000-0000-00004C040000}"/>
    <cellStyle name="20% - Accent1 4 9" xfId="10000" xr:uid="{00000000-0005-0000-0000-00004D040000}"/>
    <cellStyle name="20% - Accent1 4_Exh G" xfId="2005" xr:uid="{00000000-0005-0000-0000-00004E040000}"/>
    <cellStyle name="20% - Accent1 5" xfId="56" xr:uid="{00000000-0005-0000-0000-00004F040000}"/>
    <cellStyle name="20% - Accent1 5 10" xfId="17959" xr:uid="{00000000-0005-0000-0000-000050040000}"/>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3" xfId="24124" xr:uid="{00000000-0005-0000-0000-000057040000}"/>
    <cellStyle name="20% - Accent1 5 2 2 2 2 3" xfId="12640" xr:uid="{00000000-0005-0000-0000-000058040000}"/>
    <cellStyle name="20% - Accent1 5 2 2 2 2 4" xfId="20595" xr:uid="{00000000-0005-0000-0000-000059040000}"/>
    <cellStyle name="20% - Accent1 5 2 2 2 3" xfId="6448" xr:uid="{00000000-0005-0000-0000-00005A040000}"/>
    <cellStyle name="20% - Accent1 5 2 2 2 3 2" xfId="14420" xr:uid="{00000000-0005-0000-0000-00005B040000}"/>
    <cellStyle name="20% - Accent1 5 2 2 2 3 3" xfId="22367" xr:uid="{00000000-0005-0000-0000-00005C040000}"/>
    <cellStyle name="20% - Accent1 5 2 2 2 4" xfId="10884" xr:uid="{00000000-0005-0000-0000-00005D040000}"/>
    <cellStyle name="20% - Accent1 5 2 2 2 5" xfId="18839" xr:uid="{00000000-0005-0000-0000-00005E040000}"/>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3" xfId="23246" xr:uid="{00000000-0005-0000-0000-000063040000}"/>
    <cellStyle name="20% - Accent1 5 2 2 3 3" xfId="11762" xr:uid="{00000000-0005-0000-0000-000064040000}"/>
    <cellStyle name="20% - Accent1 5 2 2 3 4" xfId="19717" xr:uid="{00000000-0005-0000-0000-000065040000}"/>
    <cellStyle name="20% - Accent1 5 2 2 4" xfId="5557" xr:uid="{00000000-0005-0000-0000-000066040000}"/>
    <cellStyle name="20% - Accent1 5 2 2 4 2" xfId="13541" xr:uid="{00000000-0005-0000-0000-000067040000}"/>
    <cellStyle name="20% - Accent1 5 2 2 4 3" xfId="21489" xr:uid="{00000000-0005-0000-0000-000068040000}"/>
    <cellStyle name="20% - Accent1 5 2 2 5" xfId="9110" xr:uid="{00000000-0005-0000-0000-000069040000}"/>
    <cellStyle name="20% - Accent1 5 2 2 5 2" xfId="17068" xr:uid="{00000000-0005-0000-0000-00006A040000}"/>
    <cellStyle name="20% - Accent1 5 2 2 5 3" xfId="25012" xr:uid="{00000000-0005-0000-0000-00006B040000}"/>
    <cellStyle name="20% - Accent1 5 2 2 6" xfId="10006" xr:uid="{00000000-0005-0000-0000-00006C040000}"/>
    <cellStyle name="20% - Accent1 5 2 2 7" xfId="17961" xr:uid="{00000000-0005-0000-0000-00006D040000}"/>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3" xfId="24123" xr:uid="{00000000-0005-0000-0000-000073040000}"/>
    <cellStyle name="20% - Accent1 5 2 3 2 3" xfId="12639" xr:uid="{00000000-0005-0000-0000-000074040000}"/>
    <cellStyle name="20% - Accent1 5 2 3 2 4" xfId="20594" xr:uid="{00000000-0005-0000-0000-000075040000}"/>
    <cellStyle name="20% - Accent1 5 2 3 3" xfId="6447" xr:uid="{00000000-0005-0000-0000-000076040000}"/>
    <cellStyle name="20% - Accent1 5 2 3 3 2" xfId="14419" xr:uid="{00000000-0005-0000-0000-000077040000}"/>
    <cellStyle name="20% - Accent1 5 2 3 3 3" xfId="22366" xr:uid="{00000000-0005-0000-0000-000078040000}"/>
    <cellStyle name="20% - Accent1 5 2 3 4" xfId="10883" xr:uid="{00000000-0005-0000-0000-000079040000}"/>
    <cellStyle name="20% - Accent1 5 2 3 5" xfId="18838" xr:uid="{00000000-0005-0000-0000-00007A040000}"/>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3" xfId="23245" xr:uid="{00000000-0005-0000-0000-00007F040000}"/>
    <cellStyle name="20% - Accent1 5 2 4 3" xfId="11761" xr:uid="{00000000-0005-0000-0000-000080040000}"/>
    <cellStyle name="20% - Accent1 5 2 4 4" xfId="19716" xr:uid="{00000000-0005-0000-0000-000081040000}"/>
    <cellStyle name="20% - Accent1 5 2 5" xfId="5556" xr:uid="{00000000-0005-0000-0000-000082040000}"/>
    <cellStyle name="20% - Accent1 5 2 5 2" xfId="13540" xr:uid="{00000000-0005-0000-0000-000083040000}"/>
    <cellStyle name="20% - Accent1 5 2 5 3" xfId="21488" xr:uid="{00000000-0005-0000-0000-000084040000}"/>
    <cellStyle name="20% - Accent1 5 2 6" xfId="9109" xr:uid="{00000000-0005-0000-0000-000085040000}"/>
    <cellStyle name="20% - Accent1 5 2 6 2" xfId="17067" xr:uid="{00000000-0005-0000-0000-000086040000}"/>
    <cellStyle name="20% - Accent1 5 2 6 3" xfId="25011" xr:uid="{00000000-0005-0000-0000-000087040000}"/>
    <cellStyle name="20% - Accent1 5 2 7" xfId="10005" xr:uid="{00000000-0005-0000-0000-000088040000}"/>
    <cellStyle name="20% - Accent1 5 2 8" xfId="17960" xr:uid="{00000000-0005-0000-0000-000089040000}"/>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3" xfId="24125" xr:uid="{00000000-0005-0000-0000-000090040000}"/>
    <cellStyle name="20% - Accent1 5 3 2 2 3" xfId="12641" xr:uid="{00000000-0005-0000-0000-000091040000}"/>
    <cellStyle name="20% - Accent1 5 3 2 2 4" xfId="20596" xr:uid="{00000000-0005-0000-0000-000092040000}"/>
    <cellStyle name="20% - Accent1 5 3 2 3" xfId="6449" xr:uid="{00000000-0005-0000-0000-000093040000}"/>
    <cellStyle name="20% - Accent1 5 3 2 3 2" xfId="14421" xr:uid="{00000000-0005-0000-0000-000094040000}"/>
    <cellStyle name="20% - Accent1 5 3 2 3 3" xfId="22368" xr:uid="{00000000-0005-0000-0000-000095040000}"/>
    <cellStyle name="20% - Accent1 5 3 2 4" xfId="10885" xr:uid="{00000000-0005-0000-0000-000096040000}"/>
    <cellStyle name="20% - Accent1 5 3 2 5" xfId="18840" xr:uid="{00000000-0005-0000-0000-000097040000}"/>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3" xfId="23247" xr:uid="{00000000-0005-0000-0000-00009C040000}"/>
    <cellStyle name="20% - Accent1 5 3 3 3" xfId="11763" xr:uid="{00000000-0005-0000-0000-00009D040000}"/>
    <cellStyle name="20% - Accent1 5 3 3 4" xfId="19718" xr:uid="{00000000-0005-0000-0000-00009E040000}"/>
    <cellStyle name="20% - Accent1 5 3 4" xfId="5558" xr:uid="{00000000-0005-0000-0000-00009F040000}"/>
    <cellStyle name="20% - Accent1 5 3 4 2" xfId="13542" xr:uid="{00000000-0005-0000-0000-0000A0040000}"/>
    <cellStyle name="20% - Accent1 5 3 4 3" xfId="21490" xr:uid="{00000000-0005-0000-0000-0000A1040000}"/>
    <cellStyle name="20% - Accent1 5 3 5" xfId="9111" xr:uid="{00000000-0005-0000-0000-0000A2040000}"/>
    <cellStyle name="20% - Accent1 5 3 5 2" xfId="17069" xr:uid="{00000000-0005-0000-0000-0000A3040000}"/>
    <cellStyle name="20% - Accent1 5 3 5 3" xfId="25013" xr:uid="{00000000-0005-0000-0000-0000A4040000}"/>
    <cellStyle name="20% - Accent1 5 3 6" xfId="10007" xr:uid="{00000000-0005-0000-0000-0000A5040000}"/>
    <cellStyle name="20% - Accent1 5 3 7" xfId="17962" xr:uid="{00000000-0005-0000-0000-0000A6040000}"/>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3" xfId="24122" xr:uid="{00000000-0005-0000-0000-0000AD040000}"/>
    <cellStyle name="20% - Accent1 5 5 2 3" xfId="12638" xr:uid="{00000000-0005-0000-0000-0000AE040000}"/>
    <cellStyle name="20% - Accent1 5 5 2 4" xfId="20593" xr:uid="{00000000-0005-0000-0000-0000AF040000}"/>
    <cellStyle name="20% - Accent1 5 5 3" xfId="6446" xr:uid="{00000000-0005-0000-0000-0000B0040000}"/>
    <cellStyle name="20% - Accent1 5 5 3 2" xfId="14418" xr:uid="{00000000-0005-0000-0000-0000B1040000}"/>
    <cellStyle name="20% - Accent1 5 5 3 3" xfId="22365" xr:uid="{00000000-0005-0000-0000-0000B2040000}"/>
    <cellStyle name="20% - Accent1 5 5 4" xfId="10882" xr:uid="{00000000-0005-0000-0000-0000B3040000}"/>
    <cellStyle name="20% - Accent1 5 5 5" xfId="18837" xr:uid="{00000000-0005-0000-0000-0000B4040000}"/>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3" xfId="23244" xr:uid="{00000000-0005-0000-0000-0000B9040000}"/>
    <cellStyle name="20% - Accent1 5 6 3" xfId="11760" xr:uid="{00000000-0005-0000-0000-0000BA040000}"/>
    <cellStyle name="20% - Accent1 5 6 4" xfId="19715" xr:uid="{00000000-0005-0000-0000-0000BB040000}"/>
    <cellStyle name="20% - Accent1 5 7" xfId="5555" xr:uid="{00000000-0005-0000-0000-0000BC040000}"/>
    <cellStyle name="20% - Accent1 5 7 2" xfId="13539" xr:uid="{00000000-0005-0000-0000-0000BD040000}"/>
    <cellStyle name="20% - Accent1 5 7 3" xfId="21487" xr:uid="{00000000-0005-0000-0000-0000BE040000}"/>
    <cellStyle name="20% - Accent1 5 8" xfId="9108" xr:uid="{00000000-0005-0000-0000-0000BF040000}"/>
    <cellStyle name="20% - Accent1 5 8 2" xfId="17066" xr:uid="{00000000-0005-0000-0000-0000C0040000}"/>
    <cellStyle name="20% - Accent1 5 8 3" xfId="25010" xr:uid="{00000000-0005-0000-0000-0000C1040000}"/>
    <cellStyle name="20% - Accent1 5 9" xfId="10004" xr:uid="{00000000-0005-0000-0000-0000C2040000}"/>
    <cellStyle name="20% - Accent1 5_Exh G" xfId="2017" xr:uid="{00000000-0005-0000-0000-0000C3040000}"/>
    <cellStyle name="20% - Accent1 6" xfId="60" xr:uid="{00000000-0005-0000-0000-0000C4040000}"/>
    <cellStyle name="20% - Accent1 6 10" xfId="17963" xr:uid="{00000000-0005-0000-0000-0000C5040000}"/>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3" xfId="24128" xr:uid="{00000000-0005-0000-0000-0000CC040000}"/>
    <cellStyle name="20% - Accent1 6 2 2 2 2 3" xfId="12644" xr:uid="{00000000-0005-0000-0000-0000CD040000}"/>
    <cellStyle name="20% - Accent1 6 2 2 2 2 4" xfId="20599" xr:uid="{00000000-0005-0000-0000-0000CE040000}"/>
    <cellStyle name="20% - Accent1 6 2 2 2 3" xfId="6452" xr:uid="{00000000-0005-0000-0000-0000CF040000}"/>
    <cellStyle name="20% - Accent1 6 2 2 2 3 2" xfId="14424" xr:uid="{00000000-0005-0000-0000-0000D0040000}"/>
    <cellStyle name="20% - Accent1 6 2 2 2 3 3" xfId="22371" xr:uid="{00000000-0005-0000-0000-0000D1040000}"/>
    <cellStyle name="20% - Accent1 6 2 2 2 4" xfId="10888" xr:uid="{00000000-0005-0000-0000-0000D2040000}"/>
    <cellStyle name="20% - Accent1 6 2 2 2 5" xfId="18843" xr:uid="{00000000-0005-0000-0000-0000D3040000}"/>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3" xfId="23250" xr:uid="{00000000-0005-0000-0000-0000D8040000}"/>
    <cellStyle name="20% - Accent1 6 2 2 3 3" xfId="11766" xr:uid="{00000000-0005-0000-0000-0000D9040000}"/>
    <cellStyle name="20% - Accent1 6 2 2 3 4" xfId="19721" xr:uid="{00000000-0005-0000-0000-0000DA040000}"/>
    <cellStyle name="20% - Accent1 6 2 2 4" xfId="5561" xr:uid="{00000000-0005-0000-0000-0000DB040000}"/>
    <cellStyle name="20% - Accent1 6 2 2 4 2" xfId="13545" xr:uid="{00000000-0005-0000-0000-0000DC040000}"/>
    <cellStyle name="20% - Accent1 6 2 2 4 3" xfId="21493" xr:uid="{00000000-0005-0000-0000-0000DD040000}"/>
    <cellStyle name="20% - Accent1 6 2 2 5" xfId="9114" xr:uid="{00000000-0005-0000-0000-0000DE040000}"/>
    <cellStyle name="20% - Accent1 6 2 2 5 2" xfId="17072" xr:uid="{00000000-0005-0000-0000-0000DF040000}"/>
    <cellStyle name="20% - Accent1 6 2 2 5 3" xfId="25016" xr:uid="{00000000-0005-0000-0000-0000E0040000}"/>
    <cellStyle name="20% - Accent1 6 2 2 6" xfId="10010" xr:uid="{00000000-0005-0000-0000-0000E1040000}"/>
    <cellStyle name="20% - Accent1 6 2 2 7" xfId="17965" xr:uid="{00000000-0005-0000-0000-0000E2040000}"/>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3" xfId="24127" xr:uid="{00000000-0005-0000-0000-0000E8040000}"/>
    <cellStyle name="20% - Accent1 6 2 3 2 3" xfId="12643" xr:uid="{00000000-0005-0000-0000-0000E9040000}"/>
    <cellStyle name="20% - Accent1 6 2 3 2 4" xfId="20598" xr:uid="{00000000-0005-0000-0000-0000EA040000}"/>
    <cellStyle name="20% - Accent1 6 2 3 3" xfId="6451" xr:uid="{00000000-0005-0000-0000-0000EB040000}"/>
    <cellStyle name="20% - Accent1 6 2 3 3 2" xfId="14423" xr:uid="{00000000-0005-0000-0000-0000EC040000}"/>
    <cellStyle name="20% - Accent1 6 2 3 3 3" xfId="22370" xr:uid="{00000000-0005-0000-0000-0000ED040000}"/>
    <cellStyle name="20% - Accent1 6 2 3 4" xfId="10887" xr:uid="{00000000-0005-0000-0000-0000EE040000}"/>
    <cellStyle name="20% - Accent1 6 2 3 5" xfId="18842" xr:uid="{00000000-0005-0000-0000-0000EF040000}"/>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3" xfId="23249" xr:uid="{00000000-0005-0000-0000-0000F4040000}"/>
    <cellStyle name="20% - Accent1 6 2 4 3" xfId="11765" xr:uid="{00000000-0005-0000-0000-0000F5040000}"/>
    <cellStyle name="20% - Accent1 6 2 4 4" xfId="19720" xr:uid="{00000000-0005-0000-0000-0000F6040000}"/>
    <cellStyle name="20% - Accent1 6 2 5" xfId="5560" xr:uid="{00000000-0005-0000-0000-0000F7040000}"/>
    <cellStyle name="20% - Accent1 6 2 5 2" xfId="13544" xr:uid="{00000000-0005-0000-0000-0000F8040000}"/>
    <cellStyle name="20% - Accent1 6 2 5 3" xfId="21492" xr:uid="{00000000-0005-0000-0000-0000F9040000}"/>
    <cellStyle name="20% - Accent1 6 2 6" xfId="9113" xr:uid="{00000000-0005-0000-0000-0000FA040000}"/>
    <cellStyle name="20% - Accent1 6 2 6 2" xfId="17071" xr:uid="{00000000-0005-0000-0000-0000FB040000}"/>
    <cellStyle name="20% - Accent1 6 2 6 3" xfId="25015" xr:uid="{00000000-0005-0000-0000-0000FC040000}"/>
    <cellStyle name="20% - Accent1 6 2 7" xfId="10009" xr:uid="{00000000-0005-0000-0000-0000FD040000}"/>
    <cellStyle name="20% - Accent1 6 2 8" xfId="17964" xr:uid="{00000000-0005-0000-0000-0000FE040000}"/>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3" xfId="24129" xr:uid="{00000000-0005-0000-0000-000005050000}"/>
    <cellStyle name="20% - Accent1 6 3 2 2 3" xfId="12645" xr:uid="{00000000-0005-0000-0000-000006050000}"/>
    <cellStyle name="20% - Accent1 6 3 2 2 4" xfId="20600" xr:uid="{00000000-0005-0000-0000-000007050000}"/>
    <cellStyle name="20% - Accent1 6 3 2 3" xfId="6453" xr:uid="{00000000-0005-0000-0000-000008050000}"/>
    <cellStyle name="20% - Accent1 6 3 2 3 2" xfId="14425" xr:uid="{00000000-0005-0000-0000-000009050000}"/>
    <cellStyle name="20% - Accent1 6 3 2 3 3" xfId="22372" xr:uid="{00000000-0005-0000-0000-00000A050000}"/>
    <cellStyle name="20% - Accent1 6 3 2 4" xfId="10889" xr:uid="{00000000-0005-0000-0000-00000B050000}"/>
    <cellStyle name="20% - Accent1 6 3 2 5" xfId="18844" xr:uid="{00000000-0005-0000-0000-00000C050000}"/>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3" xfId="23251" xr:uid="{00000000-0005-0000-0000-000011050000}"/>
    <cellStyle name="20% - Accent1 6 3 3 3" xfId="11767" xr:uid="{00000000-0005-0000-0000-000012050000}"/>
    <cellStyle name="20% - Accent1 6 3 3 4" xfId="19722" xr:uid="{00000000-0005-0000-0000-000013050000}"/>
    <cellStyle name="20% - Accent1 6 3 4" xfId="5562" xr:uid="{00000000-0005-0000-0000-000014050000}"/>
    <cellStyle name="20% - Accent1 6 3 4 2" xfId="13546" xr:uid="{00000000-0005-0000-0000-000015050000}"/>
    <cellStyle name="20% - Accent1 6 3 4 3" xfId="21494" xr:uid="{00000000-0005-0000-0000-000016050000}"/>
    <cellStyle name="20% - Accent1 6 3 5" xfId="9115" xr:uid="{00000000-0005-0000-0000-000017050000}"/>
    <cellStyle name="20% - Accent1 6 3 5 2" xfId="17073" xr:uid="{00000000-0005-0000-0000-000018050000}"/>
    <cellStyle name="20% - Accent1 6 3 5 3" xfId="25017" xr:uid="{00000000-0005-0000-0000-000019050000}"/>
    <cellStyle name="20% - Accent1 6 3 6" xfId="10011" xr:uid="{00000000-0005-0000-0000-00001A050000}"/>
    <cellStyle name="20% - Accent1 6 3 7" xfId="17966" xr:uid="{00000000-0005-0000-0000-00001B050000}"/>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3" xfId="24831" xr:uid="{00000000-0005-0000-0000-000022050000}"/>
    <cellStyle name="20% - Accent1 6 4 2 2 3" xfId="13347" xr:uid="{00000000-0005-0000-0000-000023050000}"/>
    <cellStyle name="20% - Accent1 6 4 2 2 4" xfId="21302" xr:uid="{00000000-0005-0000-0000-000024050000}"/>
    <cellStyle name="20% - Accent1 6 4 2 3" xfId="7155" xr:uid="{00000000-0005-0000-0000-000025050000}"/>
    <cellStyle name="20% - Accent1 6 4 2 3 2" xfId="15127" xr:uid="{00000000-0005-0000-0000-000026050000}"/>
    <cellStyle name="20% - Accent1 6 4 2 3 3" xfId="23074" xr:uid="{00000000-0005-0000-0000-000027050000}"/>
    <cellStyle name="20% - Accent1 6 4 2 4" xfId="11591" xr:uid="{00000000-0005-0000-0000-000028050000}"/>
    <cellStyle name="20% - Accent1 6 4 2 5" xfId="19546" xr:uid="{00000000-0005-0000-0000-000029050000}"/>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3" xfId="23953" xr:uid="{00000000-0005-0000-0000-00002E050000}"/>
    <cellStyle name="20% - Accent1 6 4 3 3" xfId="12469" xr:uid="{00000000-0005-0000-0000-00002F050000}"/>
    <cellStyle name="20% - Accent1 6 4 3 4" xfId="20424" xr:uid="{00000000-0005-0000-0000-000030050000}"/>
    <cellStyle name="20% - Accent1 6 4 4" xfId="6274" xr:uid="{00000000-0005-0000-0000-000031050000}"/>
    <cellStyle name="20% - Accent1 6 4 4 2" xfId="14249" xr:uid="{00000000-0005-0000-0000-000032050000}"/>
    <cellStyle name="20% - Accent1 6 4 4 3" xfId="22196" xr:uid="{00000000-0005-0000-0000-000033050000}"/>
    <cellStyle name="20% - Accent1 6 4 5" xfId="9817" xr:uid="{00000000-0005-0000-0000-000034050000}"/>
    <cellStyle name="20% - Accent1 6 4 5 2" xfId="17775" xr:uid="{00000000-0005-0000-0000-000035050000}"/>
    <cellStyle name="20% - Accent1 6 4 5 3" xfId="25719" xr:uid="{00000000-0005-0000-0000-000036050000}"/>
    <cellStyle name="20% - Accent1 6 4 6" xfId="10713" xr:uid="{00000000-0005-0000-0000-000037050000}"/>
    <cellStyle name="20% - Accent1 6 4 7" xfId="18668" xr:uid="{00000000-0005-0000-0000-000038050000}"/>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3" xfId="24126" xr:uid="{00000000-0005-0000-0000-00003E050000}"/>
    <cellStyle name="20% - Accent1 6 5 2 3" xfId="12642" xr:uid="{00000000-0005-0000-0000-00003F050000}"/>
    <cellStyle name="20% - Accent1 6 5 2 4" xfId="20597" xr:uid="{00000000-0005-0000-0000-000040050000}"/>
    <cellStyle name="20% - Accent1 6 5 3" xfId="6450" xr:uid="{00000000-0005-0000-0000-000041050000}"/>
    <cellStyle name="20% - Accent1 6 5 3 2" xfId="14422" xr:uid="{00000000-0005-0000-0000-000042050000}"/>
    <cellStyle name="20% - Accent1 6 5 3 3" xfId="22369" xr:uid="{00000000-0005-0000-0000-000043050000}"/>
    <cellStyle name="20% - Accent1 6 5 4" xfId="10886" xr:uid="{00000000-0005-0000-0000-000044050000}"/>
    <cellStyle name="20% - Accent1 6 5 5" xfId="18841" xr:uid="{00000000-0005-0000-0000-000045050000}"/>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3" xfId="23248" xr:uid="{00000000-0005-0000-0000-00004A050000}"/>
    <cellStyle name="20% - Accent1 6 6 3" xfId="11764" xr:uid="{00000000-0005-0000-0000-00004B050000}"/>
    <cellStyle name="20% - Accent1 6 6 4" xfId="19719" xr:uid="{00000000-0005-0000-0000-00004C050000}"/>
    <cellStyle name="20% - Accent1 6 7" xfId="5559" xr:uid="{00000000-0005-0000-0000-00004D050000}"/>
    <cellStyle name="20% - Accent1 6 7 2" xfId="13543" xr:uid="{00000000-0005-0000-0000-00004E050000}"/>
    <cellStyle name="20% - Accent1 6 7 3" xfId="21491" xr:uid="{00000000-0005-0000-0000-00004F050000}"/>
    <cellStyle name="20% - Accent1 6 8" xfId="9112" xr:uid="{00000000-0005-0000-0000-000050050000}"/>
    <cellStyle name="20% - Accent1 6 8 2" xfId="17070" xr:uid="{00000000-0005-0000-0000-000051050000}"/>
    <cellStyle name="20% - Accent1 6 8 3" xfId="25014" xr:uid="{00000000-0005-0000-0000-000052050000}"/>
    <cellStyle name="20% - Accent1 6 9" xfId="10008" xr:uid="{00000000-0005-0000-0000-000053050000}"/>
    <cellStyle name="20% - Accent1 6_Exh G" xfId="2025" xr:uid="{00000000-0005-0000-0000-000054050000}"/>
    <cellStyle name="20% - Accent1 7" xfId="64" xr:uid="{00000000-0005-0000-0000-000055050000}"/>
    <cellStyle name="20% - Accent1 7 10" xfId="17967" xr:uid="{00000000-0005-0000-0000-000056050000}"/>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3" xfId="24132" xr:uid="{00000000-0005-0000-0000-00005D050000}"/>
    <cellStyle name="20% - Accent1 7 2 2 2 2 3" xfId="12648" xr:uid="{00000000-0005-0000-0000-00005E050000}"/>
    <cellStyle name="20% - Accent1 7 2 2 2 2 4" xfId="20603" xr:uid="{00000000-0005-0000-0000-00005F050000}"/>
    <cellStyle name="20% - Accent1 7 2 2 2 3" xfId="6456" xr:uid="{00000000-0005-0000-0000-000060050000}"/>
    <cellStyle name="20% - Accent1 7 2 2 2 3 2" xfId="14428" xr:uid="{00000000-0005-0000-0000-000061050000}"/>
    <cellStyle name="20% - Accent1 7 2 2 2 3 3" xfId="22375" xr:uid="{00000000-0005-0000-0000-000062050000}"/>
    <cellStyle name="20% - Accent1 7 2 2 2 4" xfId="10892" xr:uid="{00000000-0005-0000-0000-000063050000}"/>
    <cellStyle name="20% - Accent1 7 2 2 2 5" xfId="18847" xr:uid="{00000000-0005-0000-0000-000064050000}"/>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3" xfId="23254" xr:uid="{00000000-0005-0000-0000-000069050000}"/>
    <cellStyle name="20% - Accent1 7 2 2 3 3" xfId="11770" xr:uid="{00000000-0005-0000-0000-00006A050000}"/>
    <cellStyle name="20% - Accent1 7 2 2 3 4" xfId="19725" xr:uid="{00000000-0005-0000-0000-00006B050000}"/>
    <cellStyle name="20% - Accent1 7 2 2 4" xfId="5565" xr:uid="{00000000-0005-0000-0000-00006C050000}"/>
    <cellStyle name="20% - Accent1 7 2 2 4 2" xfId="13549" xr:uid="{00000000-0005-0000-0000-00006D050000}"/>
    <cellStyle name="20% - Accent1 7 2 2 4 3" xfId="21497" xr:uid="{00000000-0005-0000-0000-00006E050000}"/>
    <cellStyle name="20% - Accent1 7 2 2 5" xfId="9118" xr:uid="{00000000-0005-0000-0000-00006F050000}"/>
    <cellStyle name="20% - Accent1 7 2 2 5 2" xfId="17076" xr:uid="{00000000-0005-0000-0000-000070050000}"/>
    <cellStyle name="20% - Accent1 7 2 2 5 3" xfId="25020" xr:uid="{00000000-0005-0000-0000-000071050000}"/>
    <cellStyle name="20% - Accent1 7 2 2 6" xfId="10014" xr:uid="{00000000-0005-0000-0000-000072050000}"/>
    <cellStyle name="20% - Accent1 7 2 2 7" xfId="17969" xr:uid="{00000000-0005-0000-0000-000073050000}"/>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3" xfId="24131" xr:uid="{00000000-0005-0000-0000-000079050000}"/>
    <cellStyle name="20% - Accent1 7 2 3 2 3" xfId="12647" xr:uid="{00000000-0005-0000-0000-00007A050000}"/>
    <cellStyle name="20% - Accent1 7 2 3 2 4" xfId="20602" xr:uid="{00000000-0005-0000-0000-00007B050000}"/>
    <cellStyle name="20% - Accent1 7 2 3 3" xfId="6455" xr:uid="{00000000-0005-0000-0000-00007C050000}"/>
    <cellStyle name="20% - Accent1 7 2 3 3 2" xfId="14427" xr:uid="{00000000-0005-0000-0000-00007D050000}"/>
    <cellStyle name="20% - Accent1 7 2 3 3 3" xfId="22374" xr:uid="{00000000-0005-0000-0000-00007E050000}"/>
    <cellStyle name="20% - Accent1 7 2 3 4" xfId="10891" xr:uid="{00000000-0005-0000-0000-00007F050000}"/>
    <cellStyle name="20% - Accent1 7 2 3 5" xfId="18846" xr:uid="{00000000-0005-0000-0000-000080050000}"/>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3" xfId="23253" xr:uid="{00000000-0005-0000-0000-000085050000}"/>
    <cellStyle name="20% - Accent1 7 2 4 3" xfId="11769" xr:uid="{00000000-0005-0000-0000-000086050000}"/>
    <cellStyle name="20% - Accent1 7 2 4 4" xfId="19724" xr:uid="{00000000-0005-0000-0000-000087050000}"/>
    <cellStyle name="20% - Accent1 7 2 5" xfId="5564" xr:uid="{00000000-0005-0000-0000-000088050000}"/>
    <cellStyle name="20% - Accent1 7 2 5 2" xfId="13548" xr:uid="{00000000-0005-0000-0000-000089050000}"/>
    <cellStyle name="20% - Accent1 7 2 5 3" xfId="21496" xr:uid="{00000000-0005-0000-0000-00008A050000}"/>
    <cellStyle name="20% - Accent1 7 2 6" xfId="9117" xr:uid="{00000000-0005-0000-0000-00008B050000}"/>
    <cellStyle name="20% - Accent1 7 2 6 2" xfId="17075" xr:uid="{00000000-0005-0000-0000-00008C050000}"/>
    <cellStyle name="20% - Accent1 7 2 6 3" xfId="25019" xr:uid="{00000000-0005-0000-0000-00008D050000}"/>
    <cellStyle name="20% - Accent1 7 2 7" xfId="10013" xr:uid="{00000000-0005-0000-0000-00008E050000}"/>
    <cellStyle name="20% - Accent1 7 2 8" xfId="17968" xr:uid="{00000000-0005-0000-0000-00008F050000}"/>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3" xfId="24133" xr:uid="{00000000-0005-0000-0000-000096050000}"/>
    <cellStyle name="20% - Accent1 7 3 2 2 3" xfId="12649" xr:uid="{00000000-0005-0000-0000-000097050000}"/>
    <cellStyle name="20% - Accent1 7 3 2 2 4" xfId="20604" xr:uid="{00000000-0005-0000-0000-000098050000}"/>
    <cellStyle name="20% - Accent1 7 3 2 3" xfId="6457" xr:uid="{00000000-0005-0000-0000-000099050000}"/>
    <cellStyle name="20% - Accent1 7 3 2 3 2" xfId="14429" xr:uid="{00000000-0005-0000-0000-00009A050000}"/>
    <cellStyle name="20% - Accent1 7 3 2 3 3" xfId="22376" xr:uid="{00000000-0005-0000-0000-00009B050000}"/>
    <cellStyle name="20% - Accent1 7 3 2 4" xfId="10893" xr:uid="{00000000-0005-0000-0000-00009C050000}"/>
    <cellStyle name="20% - Accent1 7 3 2 5" xfId="18848" xr:uid="{00000000-0005-0000-0000-00009D05000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3" xfId="23255" xr:uid="{00000000-0005-0000-0000-0000A2050000}"/>
    <cellStyle name="20% - Accent1 7 3 3 3" xfId="11771" xr:uid="{00000000-0005-0000-0000-0000A3050000}"/>
    <cellStyle name="20% - Accent1 7 3 3 4" xfId="19726" xr:uid="{00000000-0005-0000-0000-0000A4050000}"/>
    <cellStyle name="20% - Accent1 7 3 4" xfId="5566" xr:uid="{00000000-0005-0000-0000-0000A5050000}"/>
    <cellStyle name="20% - Accent1 7 3 4 2" xfId="13550" xr:uid="{00000000-0005-0000-0000-0000A6050000}"/>
    <cellStyle name="20% - Accent1 7 3 4 3" xfId="21498" xr:uid="{00000000-0005-0000-0000-0000A7050000}"/>
    <cellStyle name="20% - Accent1 7 3 5" xfId="9119" xr:uid="{00000000-0005-0000-0000-0000A8050000}"/>
    <cellStyle name="20% - Accent1 7 3 5 2" xfId="17077" xr:uid="{00000000-0005-0000-0000-0000A9050000}"/>
    <cellStyle name="20% - Accent1 7 3 5 3" xfId="25021" xr:uid="{00000000-0005-0000-0000-0000AA050000}"/>
    <cellStyle name="20% - Accent1 7 3 6" xfId="10015" xr:uid="{00000000-0005-0000-0000-0000AB050000}"/>
    <cellStyle name="20% - Accent1 7 3 7" xfId="17970" xr:uid="{00000000-0005-0000-0000-0000AC050000}"/>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3" xfId="24832" xr:uid="{00000000-0005-0000-0000-0000B3050000}"/>
    <cellStyle name="20% - Accent1 7 4 2 2 3" xfId="13348" xr:uid="{00000000-0005-0000-0000-0000B4050000}"/>
    <cellStyle name="20% - Accent1 7 4 2 2 4" xfId="21303" xr:uid="{00000000-0005-0000-0000-0000B5050000}"/>
    <cellStyle name="20% - Accent1 7 4 2 3" xfId="7156" xr:uid="{00000000-0005-0000-0000-0000B6050000}"/>
    <cellStyle name="20% - Accent1 7 4 2 3 2" xfId="15128" xr:uid="{00000000-0005-0000-0000-0000B7050000}"/>
    <cellStyle name="20% - Accent1 7 4 2 3 3" xfId="23075" xr:uid="{00000000-0005-0000-0000-0000B8050000}"/>
    <cellStyle name="20% - Accent1 7 4 2 4" xfId="11592" xr:uid="{00000000-0005-0000-0000-0000B9050000}"/>
    <cellStyle name="20% - Accent1 7 4 2 5" xfId="19547" xr:uid="{00000000-0005-0000-0000-0000BA050000}"/>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3" xfId="23954" xr:uid="{00000000-0005-0000-0000-0000BF050000}"/>
    <cellStyle name="20% - Accent1 7 4 3 3" xfId="12470" xr:uid="{00000000-0005-0000-0000-0000C0050000}"/>
    <cellStyle name="20% - Accent1 7 4 3 4" xfId="20425" xr:uid="{00000000-0005-0000-0000-0000C1050000}"/>
    <cellStyle name="20% - Accent1 7 4 4" xfId="6275" xr:uid="{00000000-0005-0000-0000-0000C2050000}"/>
    <cellStyle name="20% - Accent1 7 4 4 2" xfId="14250" xr:uid="{00000000-0005-0000-0000-0000C3050000}"/>
    <cellStyle name="20% - Accent1 7 4 4 3" xfId="22197" xr:uid="{00000000-0005-0000-0000-0000C4050000}"/>
    <cellStyle name="20% - Accent1 7 4 5" xfId="9818" xr:uid="{00000000-0005-0000-0000-0000C5050000}"/>
    <cellStyle name="20% - Accent1 7 4 5 2" xfId="17776" xr:uid="{00000000-0005-0000-0000-0000C6050000}"/>
    <cellStyle name="20% - Accent1 7 4 5 3" xfId="25720" xr:uid="{00000000-0005-0000-0000-0000C7050000}"/>
    <cellStyle name="20% - Accent1 7 4 6" xfId="10714" xr:uid="{00000000-0005-0000-0000-0000C8050000}"/>
    <cellStyle name="20% - Accent1 7 4 7" xfId="18669" xr:uid="{00000000-0005-0000-0000-0000C9050000}"/>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3" xfId="24130" xr:uid="{00000000-0005-0000-0000-0000CF050000}"/>
    <cellStyle name="20% - Accent1 7 5 2 3" xfId="12646" xr:uid="{00000000-0005-0000-0000-0000D0050000}"/>
    <cellStyle name="20% - Accent1 7 5 2 4" xfId="20601" xr:uid="{00000000-0005-0000-0000-0000D1050000}"/>
    <cellStyle name="20% - Accent1 7 5 3" xfId="6454" xr:uid="{00000000-0005-0000-0000-0000D2050000}"/>
    <cellStyle name="20% - Accent1 7 5 3 2" xfId="14426" xr:uid="{00000000-0005-0000-0000-0000D3050000}"/>
    <cellStyle name="20% - Accent1 7 5 3 3" xfId="22373" xr:uid="{00000000-0005-0000-0000-0000D4050000}"/>
    <cellStyle name="20% - Accent1 7 5 4" xfId="10890" xr:uid="{00000000-0005-0000-0000-0000D5050000}"/>
    <cellStyle name="20% - Accent1 7 5 5" xfId="18845" xr:uid="{00000000-0005-0000-0000-0000D6050000}"/>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3" xfId="23252" xr:uid="{00000000-0005-0000-0000-0000DB050000}"/>
    <cellStyle name="20% - Accent1 7 6 3" xfId="11768" xr:uid="{00000000-0005-0000-0000-0000DC050000}"/>
    <cellStyle name="20% - Accent1 7 6 4" xfId="19723" xr:uid="{00000000-0005-0000-0000-0000DD050000}"/>
    <cellStyle name="20% - Accent1 7 7" xfId="5563" xr:uid="{00000000-0005-0000-0000-0000DE050000}"/>
    <cellStyle name="20% - Accent1 7 7 2" xfId="13547" xr:uid="{00000000-0005-0000-0000-0000DF050000}"/>
    <cellStyle name="20% - Accent1 7 7 3" xfId="21495" xr:uid="{00000000-0005-0000-0000-0000E0050000}"/>
    <cellStyle name="20% - Accent1 7 8" xfId="9116" xr:uid="{00000000-0005-0000-0000-0000E1050000}"/>
    <cellStyle name="20% - Accent1 7 8 2" xfId="17074" xr:uid="{00000000-0005-0000-0000-0000E2050000}"/>
    <cellStyle name="20% - Accent1 7 8 3" xfId="25018" xr:uid="{00000000-0005-0000-0000-0000E3050000}"/>
    <cellStyle name="20% - Accent1 7 9" xfId="10012" xr:uid="{00000000-0005-0000-0000-0000E4050000}"/>
    <cellStyle name="20% - Accent1 7_Exh G" xfId="2035" xr:uid="{00000000-0005-0000-0000-0000E5050000}"/>
    <cellStyle name="20% - Accent1 8" xfId="68" xr:uid="{00000000-0005-0000-0000-0000E6050000}"/>
    <cellStyle name="20% - Accent1 8 10" xfId="17971" xr:uid="{00000000-0005-0000-0000-0000E7050000}"/>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3" xfId="24136" xr:uid="{00000000-0005-0000-0000-0000EE050000}"/>
    <cellStyle name="20% - Accent1 8 2 2 2 2 3" xfId="12652" xr:uid="{00000000-0005-0000-0000-0000EF050000}"/>
    <cellStyle name="20% - Accent1 8 2 2 2 2 4" xfId="20607" xr:uid="{00000000-0005-0000-0000-0000F0050000}"/>
    <cellStyle name="20% - Accent1 8 2 2 2 3" xfId="6460" xr:uid="{00000000-0005-0000-0000-0000F1050000}"/>
    <cellStyle name="20% - Accent1 8 2 2 2 3 2" xfId="14432" xr:uid="{00000000-0005-0000-0000-0000F2050000}"/>
    <cellStyle name="20% - Accent1 8 2 2 2 3 3" xfId="22379" xr:uid="{00000000-0005-0000-0000-0000F3050000}"/>
    <cellStyle name="20% - Accent1 8 2 2 2 4" xfId="10896" xr:uid="{00000000-0005-0000-0000-0000F4050000}"/>
    <cellStyle name="20% - Accent1 8 2 2 2 5" xfId="18851" xr:uid="{00000000-0005-0000-0000-0000F5050000}"/>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3" xfId="23258" xr:uid="{00000000-0005-0000-0000-0000FA050000}"/>
    <cellStyle name="20% - Accent1 8 2 2 3 3" xfId="11774" xr:uid="{00000000-0005-0000-0000-0000FB050000}"/>
    <cellStyle name="20% - Accent1 8 2 2 3 4" xfId="19729" xr:uid="{00000000-0005-0000-0000-0000FC050000}"/>
    <cellStyle name="20% - Accent1 8 2 2 4" xfId="5569" xr:uid="{00000000-0005-0000-0000-0000FD050000}"/>
    <cellStyle name="20% - Accent1 8 2 2 4 2" xfId="13553" xr:uid="{00000000-0005-0000-0000-0000FE050000}"/>
    <cellStyle name="20% - Accent1 8 2 2 4 3" xfId="21501" xr:uid="{00000000-0005-0000-0000-0000FF050000}"/>
    <cellStyle name="20% - Accent1 8 2 2 5" xfId="9122" xr:uid="{00000000-0005-0000-0000-000000060000}"/>
    <cellStyle name="20% - Accent1 8 2 2 5 2" xfId="17080" xr:uid="{00000000-0005-0000-0000-000001060000}"/>
    <cellStyle name="20% - Accent1 8 2 2 5 3" xfId="25024" xr:uid="{00000000-0005-0000-0000-000002060000}"/>
    <cellStyle name="20% - Accent1 8 2 2 6" xfId="10018" xr:uid="{00000000-0005-0000-0000-000003060000}"/>
    <cellStyle name="20% - Accent1 8 2 2 7" xfId="17973" xr:uid="{00000000-0005-0000-0000-000004060000}"/>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3" xfId="24135" xr:uid="{00000000-0005-0000-0000-00000A060000}"/>
    <cellStyle name="20% - Accent1 8 2 3 2 3" xfId="12651" xr:uid="{00000000-0005-0000-0000-00000B060000}"/>
    <cellStyle name="20% - Accent1 8 2 3 2 4" xfId="20606" xr:uid="{00000000-0005-0000-0000-00000C060000}"/>
    <cellStyle name="20% - Accent1 8 2 3 3" xfId="6459" xr:uid="{00000000-0005-0000-0000-00000D060000}"/>
    <cellStyle name="20% - Accent1 8 2 3 3 2" xfId="14431" xr:uid="{00000000-0005-0000-0000-00000E060000}"/>
    <cellStyle name="20% - Accent1 8 2 3 3 3" xfId="22378" xr:uid="{00000000-0005-0000-0000-00000F060000}"/>
    <cellStyle name="20% - Accent1 8 2 3 4" xfId="10895" xr:uid="{00000000-0005-0000-0000-000010060000}"/>
    <cellStyle name="20% - Accent1 8 2 3 5" xfId="18850" xr:uid="{00000000-0005-0000-0000-000011060000}"/>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3" xfId="23257" xr:uid="{00000000-0005-0000-0000-000016060000}"/>
    <cellStyle name="20% - Accent1 8 2 4 3" xfId="11773" xr:uid="{00000000-0005-0000-0000-000017060000}"/>
    <cellStyle name="20% - Accent1 8 2 4 4" xfId="19728" xr:uid="{00000000-0005-0000-0000-000018060000}"/>
    <cellStyle name="20% - Accent1 8 2 5" xfId="5568" xr:uid="{00000000-0005-0000-0000-000019060000}"/>
    <cellStyle name="20% - Accent1 8 2 5 2" xfId="13552" xr:uid="{00000000-0005-0000-0000-00001A060000}"/>
    <cellStyle name="20% - Accent1 8 2 5 3" xfId="21500" xr:uid="{00000000-0005-0000-0000-00001B060000}"/>
    <cellStyle name="20% - Accent1 8 2 6" xfId="9121" xr:uid="{00000000-0005-0000-0000-00001C060000}"/>
    <cellStyle name="20% - Accent1 8 2 6 2" xfId="17079" xr:uid="{00000000-0005-0000-0000-00001D060000}"/>
    <cellStyle name="20% - Accent1 8 2 6 3" xfId="25023" xr:uid="{00000000-0005-0000-0000-00001E060000}"/>
    <cellStyle name="20% - Accent1 8 2 7" xfId="10017" xr:uid="{00000000-0005-0000-0000-00001F060000}"/>
    <cellStyle name="20% - Accent1 8 2 8" xfId="17972" xr:uid="{00000000-0005-0000-0000-000020060000}"/>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3" xfId="24137" xr:uid="{00000000-0005-0000-0000-000027060000}"/>
    <cellStyle name="20% - Accent1 8 3 2 2 3" xfId="12653" xr:uid="{00000000-0005-0000-0000-000028060000}"/>
    <cellStyle name="20% - Accent1 8 3 2 2 4" xfId="20608" xr:uid="{00000000-0005-0000-0000-000029060000}"/>
    <cellStyle name="20% - Accent1 8 3 2 3" xfId="6461" xr:uid="{00000000-0005-0000-0000-00002A060000}"/>
    <cellStyle name="20% - Accent1 8 3 2 3 2" xfId="14433" xr:uid="{00000000-0005-0000-0000-00002B060000}"/>
    <cellStyle name="20% - Accent1 8 3 2 3 3" xfId="22380" xr:uid="{00000000-0005-0000-0000-00002C060000}"/>
    <cellStyle name="20% - Accent1 8 3 2 4" xfId="10897" xr:uid="{00000000-0005-0000-0000-00002D060000}"/>
    <cellStyle name="20% - Accent1 8 3 2 5" xfId="18852" xr:uid="{00000000-0005-0000-0000-00002E060000}"/>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3" xfId="23259" xr:uid="{00000000-0005-0000-0000-000033060000}"/>
    <cellStyle name="20% - Accent1 8 3 3 3" xfId="11775" xr:uid="{00000000-0005-0000-0000-000034060000}"/>
    <cellStyle name="20% - Accent1 8 3 3 4" xfId="19730" xr:uid="{00000000-0005-0000-0000-000035060000}"/>
    <cellStyle name="20% - Accent1 8 3 4" xfId="5570" xr:uid="{00000000-0005-0000-0000-000036060000}"/>
    <cellStyle name="20% - Accent1 8 3 4 2" xfId="13554" xr:uid="{00000000-0005-0000-0000-000037060000}"/>
    <cellStyle name="20% - Accent1 8 3 4 3" xfId="21502" xr:uid="{00000000-0005-0000-0000-000038060000}"/>
    <cellStyle name="20% - Accent1 8 3 5" xfId="9123" xr:uid="{00000000-0005-0000-0000-000039060000}"/>
    <cellStyle name="20% - Accent1 8 3 5 2" xfId="17081" xr:uid="{00000000-0005-0000-0000-00003A060000}"/>
    <cellStyle name="20% - Accent1 8 3 5 3" xfId="25025" xr:uid="{00000000-0005-0000-0000-00003B060000}"/>
    <cellStyle name="20% - Accent1 8 3 6" xfId="10019" xr:uid="{00000000-0005-0000-0000-00003C060000}"/>
    <cellStyle name="20% - Accent1 8 3 7" xfId="17974" xr:uid="{00000000-0005-0000-0000-00003D060000}"/>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3" xfId="24833" xr:uid="{00000000-0005-0000-0000-000044060000}"/>
    <cellStyle name="20% - Accent1 8 4 2 2 3" xfId="13349" xr:uid="{00000000-0005-0000-0000-000045060000}"/>
    <cellStyle name="20% - Accent1 8 4 2 2 4" xfId="21304" xr:uid="{00000000-0005-0000-0000-000046060000}"/>
    <cellStyle name="20% - Accent1 8 4 2 3" xfId="7157" xr:uid="{00000000-0005-0000-0000-000047060000}"/>
    <cellStyle name="20% - Accent1 8 4 2 3 2" xfId="15129" xr:uid="{00000000-0005-0000-0000-000048060000}"/>
    <cellStyle name="20% - Accent1 8 4 2 3 3" xfId="23076" xr:uid="{00000000-0005-0000-0000-000049060000}"/>
    <cellStyle name="20% - Accent1 8 4 2 4" xfId="11593" xr:uid="{00000000-0005-0000-0000-00004A060000}"/>
    <cellStyle name="20% - Accent1 8 4 2 5" xfId="19548" xr:uid="{00000000-0005-0000-0000-00004B060000}"/>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3" xfId="23955" xr:uid="{00000000-0005-0000-0000-000050060000}"/>
    <cellStyle name="20% - Accent1 8 4 3 3" xfId="12471" xr:uid="{00000000-0005-0000-0000-000051060000}"/>
    <cellStyle name="20% - Accent1 8 4 3 4" xfId="20426" xr:uid="{00000000-0005-0000-0000-000052060000}"/>
    <cellStyle name="20% - Accent1 8 4 4" xfId="6276" xr:uid="{00000000-0005-0000-0000-000053060000}"/>
    <cellStyle name="20% - Accent1 8 4 4 2" xfId="14251" xr:uid="{00000000-0005-0000-0000-000054060000}"/>
    <cellStyle name="20% - Accent1 8 4 4 3" xfId="22198" xr:uid="{00000000-0005-0000-0000-000055060000}"/>
    <cellStyle name="20% - Accent1 8 4 5" xfId="9819" xr:uid="{00000000-0005-0000-0000-000056060000}"/>
    <cellStyle name="20% - Accent1 8 4 5 2" xfId="17777" xr:uid="{00000000-0005-0000-0000-000057060000}"/>
    <cellStyle name="20% - Accent1 8 4 5 3" xfId="25721" xr:uid="{00000000-0005-0000-0000-000058060000}"/>
    <cellStyle name="20% - Accent1 8 4 6" xfId="10715" xr:uid="{00000000-0005-0000-0000-000059060000}"/>
    <cellStyle name="20% - Accent1 8 4 7" xfId="18670" xr:uid="{00000000-0005-0000-0000-00005A060000}"/>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3" xfId="24134" xr:uid="{00000000-0005-0000-0000-000060060000}"/>
    <cellStyle name="20% - Accent1 8 5 2 3" xfId="12650" xr:uid="{00000000-0005-0000-0000-000061060000}"/>
    <cellStyle name="20% - Accent1 8 5 2 4" xfId="20605" xr:uid="{00000000-0005-0000-0000-000062060000}"/>
    <cellStyle name="20% - Accent1 8 5 3" xfId="6458" xr:uid="{00000000-0005-0000-0000-000063060000}"/>
    <cellStyle name="20% - Accent1 8 5 3 2" xfId="14430" xr:uid="{00000000-0005-0000-0000-000064060000}"/>
    <cellStyle name="20% - Accent1 8 5 3 3" xfId="22377" xr:uid="{00000000-0005-0000-0000-000065060000}"/>
    <cellStyle name="20% - Accent1 8 5 4" xfId="10894" xr:uid="{00000000-0005-0000-0000-000066060000}"/>
    <cellStyle name="20% - Accent1 8 5 5" xfId="18849" xr:uid="{00000000-0005-0000-0000-000067060000}"/>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3" xfId="23256" xr:uid="{00000000-0005-0000-0000-00006C060000}"/>
    <cellStyle name="20% - Accent1 8 6 3" xfId="11772" xr:uid="{00000000-0005-0000-0000-00006D060000}"/>
    <cellStyle name="20% - Accent1 8 6 4" xfId="19727" xr:uid="{00000000-0005-0000-0000-00006E060000}"/>
    <cellStyle name="20% - Accent1 8 7" xfId="5567" xr:uid="{00000000-0005-0000-0000-00006F060000}"/>
    <cellStyle name="20% - Accent1 8 7 2" xfId="13551" xr:uid="{00000000-0005-0000-0000-000070060000}"/>
    <cellStyle name="20% - Accent1 8 7 3" xfId="21499" xr:uid="{00000000-0005-0000-0000-000071060000}"/>
    <cellStyle name="20% - Accent1 8 8" xfId="9120" xr:uid="{00000000-0005-0000-0000-000072060000}"/>
    <cellStyle name="20% - Accent1 8 8 2" xfId="17078" xr:uid="{00000000-0005-0000-0000-000073060000}"/>
    <cellStyle name="20% - Accent1 8 8 3" xfId="25022" xr:uid="{00000000-0005-0000-0000-000074060000}"/>
    <cellStyle name="20% - Accent1 8 9" xfId="10016" xr:uid="{00000000-0005-0000-0000-000075060000}"/>
    <cellStyle name="20% - Accent1 8_Exh G" xfId="2045" xr:uid="{00000000-0005-0000-0000-000076060000}"/>
    <cellStyle name="20% - Accent1 9" xfId="72" xr:uid="{00000000-0005-0000-0000-000077060000}"/>
    <cellStyle name="20% - Accent1 9 10" xfId="17975" xr:uid="{00000000-0005-0000-0000-000078060000}"/>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3" xfId="24140" xr:uid="{00000000-0005-0000-0000-00007F060000}"/>
    <cellStyle name="20% - Accent1 9 2 2 2 2 3" xfId="12656" xr:uid="{00000000-0005-0000-0000-000080060000}"/>
    <cellStyle name="20% - Accent1 9 2 2 2 2 4" xfId="20611" xr:uid="{00000000-0005-0000-0000-000081060000}"/>
    <cellStyle name="20% - Accent1 9 2 2 2 3" xfId="6464" xr:uid="{00000000-0005-0000-0000-000082060000}"/>
    <cellStyle name="20% - Accent1 9 2 2 2 3 2" xfId="14436" xr:uid="{00000000-0005-0000-0000-000083060000}"/>
    <cellStyle name="20% - Accent1 9 2 2 2 3 3" xfId="22383" xr:uid="{00000000-0005-0000-0000-000084060000}"/>
    <cellStyle name="20% - Accent1 9 2 2 2 4" xfId="10900" xr:uid="{00000000-0005-0000-0000-000085060000}"/>
    <cellStyle name="20% - Accent1 9 2 2 2 5" xfId="18855" xr:uid="{00000000-0005-0000-0000-0000860600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3" xfId="23262" xr:uid="{00000000-0005-0000-0000-00008B060000}"/>
    <cellStyle name="20% - Accent1 9 2 2 3 3" xfId="11778" xr:uid="{00000000-0005-0000-0000-00008C060000}"/>
    <cellStyle name="20% - Accent1 9 2 2 3 4" xfId="19733" xr:uid="{00000000-0005-0000-0000-00008D060000}"/>
    <cellStyle name="20% - Accent1 9 2 2 4" xfId="5573" xr:uid="{00000000-0005-0000-0000-00008E060000}"/>
    <cellStyle name="20% - Accent1 9 2 2 4 2" xfId="13557" xr:uid="{00000000-0005-0000-0000-00008F060000}"/>
    <cellStyle name="20% - Accent1 9 2 2 4 3" xfId="21505" xr:uid="{00000000-0005-0000-0000-000090060000}"/>
    <cellStyle name="20% - Accent1 9 2 2 5" xfId="9126" xr:uid="{00000000-0005-0000-0000-000091060000}"/>
    <cellStyle name="20% - Accent1 9 2 2 5 2" xfId="17084" xr:uid="{00000000-0005-0000-0000-000092060000}"/>
    <cellStyle name="20% - Accent1 9 2 2 5 3" xfId="25028" xr:uid="{00000000-0005-0000-0000-000093060000}"/>
    <cellStyle name="20% - Accent1 9 2 2 6" xfId="10022" xr:uid="{00000000-0005-0000-0000-000094060000}"/>
    <cellStyle name="20% - Accent1 9 2 2 7" xfId="17977" xr:uid="{00000000-0005-0000-0000-000095060000}"/>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3" xfId="24139" xr:uid="{00000000-0005-0000-0000-00009B060000}"/>
    <cellStyle name="20% - Accent1 9 2 3 2 3" xfId="12655" xr:uid="{00000000-0005-0000-0000-00009C060000}"/>
    <cellStyle name="20% - Accent1 9 2 3 2 4" xfId="20610" xr:uid="{00000000-0005-0000-0000-00009D060000}"/>
    <cellStyle name="20% - Accent1 9 2 3 3" xfId="6463" xr:uid="{00000000-0005-0000-0000-00009E060000}"/>
    <cellStyle name="20% - Accent1 9 2 3 3 2" xfId="14435" xr:uid="{00000000-0005-0000-0000-00009F060000}"/>
    <cellStyle name="20% - Accent1 9 2 3 3 3" xfId="22382" xr:uid="{00000000-0005-0000-0000-0000A0060000}"/>
    <cellStyle name="20% - Accent1 9 2 3 4" xfId="10899" xr:uid="{00000000-0005-0000-0000-0000A1060000}"/>
    <cellStyle name="20% - Accent1 9 2 3 5" xfId="18854" xr:uid="{00000000-0005-0000-0000-0000A2060000}"/>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3" xfId="23261" xr:uid="{00000000-0005-0000-0000-0000A7060000}"/>
    <cellStyle name="20% - Accent1 9 2 4 3" xfId="11777" xr:uid="{00000000-0005-0000-0000-0000A8060000}"/>
    <cellStyle name="20% - Accent1 9 2 4 4" xfId="19732" xr:uid="{00000000-0005-0000-0000-0000A9060000}"/>
    <cellStyle name="20% - Accent1 9 2 5" xfId="5572" xr:uid="{00000000-0005-0000-0000-0000AA060000}"/>
    <cellStyle name="20% - Accent1 9 2 5 2" xfId="13556" xr:uid="{00000000-0005-0000-0000-0000AB060000}"/>
    <cellStyle name="20% - Accent1 9 2 5 3" xfId="21504" xr:uid="{00000000-0005-0000-0000-0000AC060000}"/>
    <cellStyle name="20% - Accent1 9 2 6" xfId="9125" xr:uid="{00000000-0005-0000-0000-0000AD060000}"/>
    <cellStyle name="20% - Accent1 9 2 6 2" xfId="17083" xr:uid="{00000000-0005-0000-0000-0000AE060000}"/>
    <cellStyle name="20% - Accent1 9 2 6 3" xfId="25027" xr:uid="{00000000-0005-0000-0000-0000AF060000}"/>
    <cellStyle name="20% - Accent1 9 2 7" xfId="10021" xr:uid="{00000000-0005-0000-0000-0000B0060000}"/>
    <cellStyle name="20% - Accent1 9 2 8" xfId="17976" xr:uid="{00000000-0005-0000-0000-0000B1060000}"/>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3" xfId="24141" xr:uid="{00000000-0005-0000-0000-0000B8060000}"/>
    <cellStyle name="20% - Accent1 9 3 2 2 3" xfId="12657" xr:uid="{00000000-0005-0000-0000-0000B9060000}"/>
    <cellStyle name="20% - Accent1 9 3 2 2 4" xfId="20612" xr:uid="{00000000-0005-0000-0000-0000BA060000}"/>
    <cellStyle name="20% - Accent1 9 3 2 3" xfId="6465" xr:uid="{00000000-0005-0000-0000-0000BB060000}"/>
    <cellStyle name="20% - Accent1 9 3 2 3 2" xfId="14437" xr:uid="{00000000-0005-0000-0000-0000BC060000}"/>
    <cellStyle name="20% - Accent1 9 3 2 3 3" xfId="22384" xr:uid="{00000000-0005-0000-0000-0000BD060000}"/>
    <cellStyle name="20% - Accent1 9 3 2 4" xfId="10901" xr:uid="{00000000-0005-0000-0000-0000BE060000}"/>
    <cellStyle name="20% - Accent1 9 3 2 5" xfId="18856" xr:uid="{00000000-0005-0000-0000-0000BF06000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3" xfId="23263" xr:uid="{00000000-0005-0000-0000-0000C4060000}"/>
    <cellStyle name="20% - Accent1 9 3 3 3" xfId="11779" xr:uid="{00000000-0005-0000-0000-0000C5060000}"/>
    <cellStyle name="20% - Accent1 9 3 3 4" xfId="19734" xr:uid="{00000000-0005-0000-0000-0000C6060000}"/>
    <cellStyle name="20% - Accent1 9 3 4" xfId="5574" xr:uid="{00000000-0005-0000-0000-0000C7060000}"/>
    <cellStyle name="20% - Accent1 9 3 4 2" xfId="13558" xr:uid="{00000000-0005-0000-0000-0000C8060000}"/>
    <cellStyle name="20% - Accent1 9 3 4 3" xfId="21506" xr:uid="{00000000-0005-0000-0000-0000C9060000}"/>
    <cellStyle name="20% - Accent1 9 3 5" xfId="9127" xr:uid="{00000000-0005-0000-0000-0000CA060000}"/>
    <cellStyle name="20% - Accent1 9 3 5 2" xfId="17085" xr:uid="{00000000-0005-0000-0000-0000CB060000}"/>
    <cellStyle name="20% - Accent1 9 3 5 3" xfId="25029" xr:uid="{00000000-0005-0000-0000-0000CC060000}"/>
    <cellStyle name="20% - Accent1 9 3 6" xfId="10023" xr:uid="{00000000-0005-0000-0000-0000CD060000}"/>
    <cellStyle name="20% - Accent1 9 3 7" xfId="17978" xr:uid="{00000000-0005-0000-0000-0000CE060000}"/>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3" xfId="24834" xr:uid="{00000000-0005-0000-0000-0000D5060000}"/>
    <cellStyle name="20% - Accent1 9 4 2 2 3" xfId="13350" xr:uid="{00000000-0005-0000-0000-0000D6060000}"/>
    <cellStyle name="20% - Accent1 9 4 2 2 4" xfId="21305" xr:uid="{00000000-0005-0000-0000-0000D7060000}"/>
    <cellStyle name="20% - Accent1 9 4 2 3" xfId="7158" xr:uid="{00000000-0005-0000-0000-0000D8060000}"/>
    <cellStyle name="20% - Accent1 9 4 2 3 2" xfId="15130" xr:uid="{00000000-0005-0000-0000-0000D9060000}"/>
    <cellStyle name="20% - Accent1 9 4 2 3 3" xfId="23077" xr:uid="{00000000-0005-0000-0000-0000DA060000}"/>
    <cellStyle name="20% - Accent1 9 4 2 4" xfId="11594" xr:uid="{00000000-0005-0000-0000-0000DB060000}"/>
    <cellStyle name="20% - Accent1 9 4 2 5" xfId="19549" xr:uid="{00000000-0005-0000-0000-0000DC060000}"/>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3" xfId="23956" xr:uid="{00000000-0005-0000-0000-0000E1060000}"/>
    <cellStyle name="20% - Accent1 9 4 3 3" xfId="12472" xr:uid="{00000000-0005-0000-0000-0000E2060000}"/>
    <cellStyle name="20% - Accent1 9 4 3 4" xfId="20427" xr:uid="{00000000-0005-0000-0000-0000E3060000}"/>
    <cellStyle name="20% - Accent1 9 4 4" xfId="6277" xr:uid="{00000000-0005-0000-0000-0000E4060000}"/>
    <cellStyle name="20% - Accent1 9 4 4 2" xfId="14252" xr:uid="{00000000-0005-0000-0000-0000E5060000}"/>
    <cellStyle name="20% - Accent1 9 4 4 3" xfId="22199" xr:uid="{00000000-0005-0000-0000-0000E6060000}"/>
    <cellStyle name="20% - Accent1 9 4 5" xfId="9820" xr:uid="{00000000-0005-0000-0000-0000E7060000}"/>
    <cellStyle name="20% - Accent1 9 4 5 2" xfId="17778" xr:uid="{00000000-0005-0000-0000-0000E8060000}"/>
    <cellStyle name="20% - Accent1 9 4 5 3" xfId="25722" xr:uid="{00000000-0005-0000-0000-0000E9060000}"/>
    <cellStyle name="20% - Accent1 9 4 6" xfId="10716" xr:uid="{00000000-0005-0000-0000-0000EA060000}"/>
    <cellStyle name="20% - Accent1 9 4 7" xfId="18671" xr:uid="{00000000-0005-0000-0000-0000EB060000}"/>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3" xfId="24138" xr:uid="{00000000-0005-0000-0000-0000F1060000}"/>
    <cellStyle name="20% - Accent1 9 5 2 3" xfId="12654" xr:uid="{00000000-0005-0000-0000-0000F2060000}"/>
    <cellStyle name="20% - Accent1 9 5 2 4" xfId="20609" xr:uid="{00000000-0005-0000-0000-0000F3060000}"/>
    <cellStyle name="20% - Accent1 9 5 3" xfId="6462" xr:uid="{00000000-0005-0000-0000-0000F4060000}"/>
    <cellStyle name="20% - Accent1 9 5 3 2" xfId="14434" xr:uid="{00000000-0005-0000-0000-0000F5060000}"/>
    <cellStyle name="20% - Accent1 9 5 3 3" xfId="22381" xr:uid="{00000000-0005-0000-0000-0000F6060000}"/>
    <cellStyle name="20% - Accent1 9 5 4" xfId="10898" xr:uid="{00000000-0005-0000-0000-0000F7060000}"/>
    <cellStyle name="20% - Accent1 9 5 5" xfId="18853" xr:uid="{00000000-0005-0000-0000-0000F8060000}"/>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3" xfId="23260" xr:uid="{00000000-0005-0000-0000-0000FD060000}"/>
    <cellStyle name="20% - Accent1 9 6 3" xfId="11776" xr:uid="{00000000-0005-0000-0000-0000FE060000}"/>
    <cellStyle name="20% - Accent1 9 6 4" xfId="19731" xr:uid="{00000000-0005-0000-0000-0000FF060000}"/>
    <cellStyle name="20% - Accent1 9 7" xfId="5571" xr:uid="{00000000-0005-0000-0000-000000070000}"/>
    <cellStyle name="20% - Accent1 9 7 2" xfId="13555" xr:uid="{00000000-0005-0000-0000-000001070000}"/>
    <cellStyle name="20% - Accent1 9 7 3" xfId="21503" xr:uid="{00000000-0005-0000-0000-000002070000}"/>
    <cellStyle name="20% - Accent1 9 8" xfId="9124" xr:uid="{00000000-0005-0000-0000-000003070000}"/>
    <cellStyle name="20% - Accent1 9 8 2" xfId="17082" xr:uid="{00000000-0005-0000-0000-000004070000}"/>
    <cellStyle name="20% - Accent1 9 8 3" xfId="25026" xr:uid="{00000000-0005-0000-0000-000005070000}"/>
    <cellStyle name="20% - Accent1 9 9" xfId="10020" xr:uid="{00000000-0005-0000-0000-000006070000}"/>
    <cellStyle name="20% - Accent1 9_Exh G" xfId="2055" xr:uid="{00000000-0005-0000-0000-000007070000}"/>
    <cellStyle name="20% - Accent2 10" xfId="76" xr:uid="{00000000-0005-0000-0000-000008070000}"/>
    <cellStyle name="20% - Accent2 10 10" xfId="17979" xr:uid="{00000000-0005-0000-0000-000009070000}"/>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3" xfId="24144" xr:uid="{00000000-0005-0000-0000-000010070000}"/>
    <cellStyle name="20% - Accent2 10 2 2 2 2 3" xfId="12660" xr:uid="{00000000-0005-0000-0000-000011070000}"/>
    <cellStyle name="20% - Accent2 10 2 2 2 2 4" xfId="20615" xr:uid="{00000000-0005-0000-0000-000012070000}"/>
    <cellStyle name="20% - Accent2 10 2 2 2 3" xfId="6468" xr:uid="{00000000-0005-0000-0000-000013070000}"/>
    <cellStyle name="20% - Accent2 10 2 2 2 3 2" xfId="14440" xr:uid="{00000000-0005-0000-0000-000014070000}"/>
    <cellStyle name="20% - Accent2 10 2 2 2 3 3" xfId="22387" xr:uid="{00000000-0005-0000-0000-000015070000}"/>
    <cellStyle name="20% - Accent2 10 2 2 2 4" xfId="10904" xr:uid="{00000000-0005-0000-0000-000016070000}"/>
    <cellStyle name="20% - Accent2 10 2 2 2 5" xfId="18859" xr:uid="{00000000-0005-0000-0000-000017070000}"/>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3" xfId="23266" xr:uid="{00000000-0005-0000-0000-00001C070000}"/>
    <cellStyle name="20% - Accent2 10 2 2 3 3" xfId="11782" xr:uid="{00000000-0005-0000-0000-00001D070000}"/>
    <cellStyle name="20% - Accent2 10 2 2 3 4" xfId="19737" xr:uid="{00000000-0005-0000-0000-00001E070000}"/>
    <cellStyle name="20% - Accent2 10 2 2 4" xfId="5577" xr:uid="{00000000-0005-0000-0000-00001F070000}"/>
    <cellStyle name="20% - Accent2 10 2 2 4 2" xfId="13561" xr:uid="{00000000-0005-0000-0000-000020070000}"/>
    <cellStyle name="20% - Accent2 10 2 2 4 3" xfId="21509" xr:uid="{00000000-0005-0000-0000-000021070000}"/>
    <cellStyle name="20% - Accent2 10 2 2 5" xfId="9130" xr:uid="{00000000-0005-0000-0000-000022070000}"/>
    <cellStyle name="20% - Accent2 10 2 2 5 2" xfId="17088" xr:uid="{00000000-0005-0000-0000-000023070000}"/>
    <cellStyle name="20% - Accent2 10 2 2 5 3" xfId="25032" xr:uid="{00000000-0005-0000-0000-000024070000}"/>
    <cellStyle name="20% - Accent2 10 2 2 6" xfId="10026" xr:uid="{00000000-0005-0000-0000-000025070000}"/>
    <cellStyle name="20% - Accent2 10 2 2 7" xfId="17981" xr:uid="{00000000-0005-0000-0000-000026070000}"/>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3" xfId="24143" xr:uid="{00000000-0005-0000-0000-00002C070000}"/>
    <cellStyle name="20% - Accent2 10 2 3 2 3" xfId="12659" xr:uid="{00000000-0005-0000-0000-00002D070000}"/>
    <cellStyle name="20% - Accent2 10 2 3 2 4" xfId="20614" xr:uid="{00000000-0005-0000-0000-00002E070000}"/>
    <cellStyle name="20% - Accent2 10 2 3 3" xfId="6467" xr:uid="{00000000-0005-0000-0000-00002F070000}"/>
    <cellStyle name="20% - Accent2 10 2 3 3 2" xfId="14439" xr:uid="{00000000-0005-0000-0000-000030070000}"/>
    <cellStyle name="20% - Accent2 10 2 3 3 3" xfId="22386" xr:uid="{00000000-0005-0000-0000-000031070000}"/>
    <cellStyle name="20% - Accent2 10 2 3 4" xfId="10903" xr:uid="{00000000-0005-0000-0000-000032070000}"/>
    <cellStyle name="20% - Accent2 10 2 3 5" xfId="18858" xr:uid="{00000000-0005-0000-0000-000033070000}"/>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3" xfId="23265" xr:uid="{00000000-0005-0000-0000-000038070000}"/>
    <cellStyle name="20% - Accent2 10 2 4 3" xfId="11781" xr:uid="{00000000-0005-0000-0000-000039070000}"/>
    <cellStyle name="20% - Accent2 10 2 4 4" xfId="19736" xr:uid="{00000000-0005-0000-0000-00003A070000}"/>
    <cellStyle name="20% - Accent2 10 2 5" xfId="5576" xr:uid="{00000000-0005-0000-0000-00003B070000}"/>
    <cellStyle name="20% - Accent2 10 2 5 2" xfId="13560" xr:uid="{00000000-0005-0000-0000-00003C070000}"/>
    <cellStyle name="20% - Accent2 10 2 5 3" xfId="21508" xr:uid="{00000000-0005-0000-0000-00003D070000}"/>
    <cellStyle name="20% - Accent2 10 2 6" xfId="9129" xr:uid="{00000000-0005-0000-0000-00003E070000}"/>
    <cellStyle name="20% - Accent2 10 2 6 2" xfId="17087" xr:uid="{00000000-0005-0000-0000-00003F070000}"/>
    <cellStyle name="20% - Accent2 10 2 6 3" xfId="25031" xr:uid="{00000000-0005-0000-0000-000040070000}"/>
    <cellStyle name="20% - Accent2 10 2 7" xfId="10025" xr:uid="{00000000-0005-0000-0000-000041070000}"/>
    <cellStyle name="20% - Accent2 10 2 8" xfId="17980" xr:uid="{00000000-0005-0000-0000-000042070000}"/>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3" xfId="24145" xr:uid="{00000000-0005-0000-0000-000049070000}"/>
    <cellStyle name="20% - Accent2 10 3 2 2 3" xfId="12661" xr:uid="{00000000-0005-0000-0000-00004A070000}"/>
    <cellStyle name="20% - Accent2 10 3 2 2 4" xfId="20616" xr:uid="{00000000-0005-0000-0000-00004B070000}"/>
    <cellStyle name="20% - Accent2 10 3 2 3" xfId="6469" xr:uid="{00000000-0005-0000-0000-00004C070000}"/>
    <cellStyle name="20% - Accent2 10 3 2 3 2" xfId="14441" xr:uid="{00000000-0005-0000-0000-00004D070000}"/>
    <cellStyle name="20% - Accent2 10 3 2 3 3" xfId="22388" xr:uid="{00000000-0005-0000-0000-00004E070000}"/>
    <cellStyle name="20% - Accent2 10 3 2 4" xfId="10905" xr:uid="{00000000-0005-0000-0000-00004F070000}"/>
    <cellStyle name="20% - Accent2 10 3 2 5" xfId="18860" xr:uid="{00000000-0005-0000-0000-000050070000}"/>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3" xfId="23267" xr:uid="{00000000-0005-0000-0000-000055070000}"/>
    <cellStyle name="20% - Accent2 10 3 3 3" xfId="11783" xr:uid="{00000000-0005-0000-0000-000056070000}"/>
    <cellStyle name="20% - Accent2 10 3 3 4" xfId="19738" xr:uid="{00000000-0005-0000-0000-000057070000}"/>
    <cellStyle name="20% - Accent2 10 3 4" xfId="5578" xr:uid="{00000000-0005-0000-0000-000058070000}"/>
    <cellStyle name="20% - Accent2 10 3 4 2" xfId="13562" xr:uid="{00000000-0005-0000-0000-000059070000}"/>
    <cellStyle name="20% - Accent2 10 3 4 3" xfId="21510" xr:uid="{00000000-0005-0000-0000-00005A070000}"/>
    <cellStyle name="20% - Accent2 10 3 5" xfId="9131" xr:uid="{00000000-0005-0000-0000-00005B070000}"/>
    <cellStyle name="20% - Accent2 10 3 5 2" xfId="17089" xr:uid="{00000000-0005-0000-0000-00005C070000}"/>
    <cellStyle name="20% - Accent2 10 3 5 3" xfId="25033" xr:uid="{00000000-0005-0000-0000-00005D070000}"/>
    <cellStyle name="20% - Accent2 10 3 6" xfId="10027" xr:uid="{00000000-0005-0000-0000-00005E070000}"/>
    <cellStyle name="20% - Accent2 10 3 7" xfId="17982" xr:uid="{00000000-0005-0000-0000-00005F07000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3" xfId="24142" xr:uid="{00000000-0005-0000-0000-000066070000}"/>
    <cellStyle name="20% - Accent2 10 5 2 3" xfId="12658" xr:uid="{00000000-0005-0000-0000-000067070000}"/>
    <cellStyle name="20% - Accent2 10 5 2 4" xfId="20613" xr:uid="{00000000-0005-0000-0000-000068070000}"/>
    <cellStyle name="20% - Accent2 10 5 3" xfId="6466" xr:uid="{00000000-0005-0000-0000-000069070000}"/>
    <cellStyle name="20% - Accent2 10 5 3 2" xfId="14438" xr:uid="{00000000-0005-0000-0000-00006A070000}"/>
    <cellStyle name="20% - Accent2 10 5 3 3" xfId="22385" xr:uid="{00000000-0005-0000-0000-00006B070000}"/>
    <cellStyle name="20% - Accent2 10 5 4" xfId="10902" xr:uid="{00000000-0005-0000-0000-00006C070000}"/>
    <cellStyle name="20% - Accent2 10 5 5" xfId="18857" xr:uid="{00000000-0005-0000-0000-00006D070000}"/>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3" xfId="23264" xr:uid="{00000000-0005-0000-0000-000072070000}"/>
    <cellStyle name="20% - Accent2 10 6 3" xfId="11780" xr:uid="{00000000-0005-0000-0000-000073070000}"/>
    <cellStyle name="20% - Accent2 10 6 4" xfId="19735" xr:uid="{00000000-0005-0000-0000-000074070000}"/>
    <cellStyle name="20% - Accent2 10 7" xfId="5575" xr:uid="{00000000-0005-0000-0000-000075070000}"/>
    <cellStyle name="20% - Accent2 10 7 2" xfId="13559" xr:uid="{00000000-0005-0000-0000-000076070000}"/>
    <cellStyle name="20% - Accent2 10 7 3" xfId="21507" xr:uid="{00000000-0005-0000-0000-000077070000}"/>
    <cellStyle name="20% - Accent2 10 8" xfId="9128" xr:uid="{00000000-0005-0000-0000-000078070000}"/>
    <cellStyle name="20% - Accent2 10 8 2" xfId="17086" xr:uid="{00000000-0005-0000-0000-000079070000}"/>
    <cellStyle name="20% - Accent2 10 8 3" xfId="25030" xr:uid="{00000000-0005-0000-0000-00007A070000}"/>
    <cellStyle name="20% - Accent2 10 9" xfId="10024" xr:uid="{00000000-0005-0000-0000-00007B070000}"/>
    <cellStyle name="20% - Accent2 10_Exh G" xfId="2065" xr:uid="{00000000-0005-0000-0000-00007C070000}"/>
    <cellStyle name="20% - Accent2 11" xfId="80" xr:uid="{00000000-0005-0000-0000-00007D070000}"/>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3" xfId="24148" xr:uid="{00000000-0005-0000-0000-000084070000}"/>
    <cellStyle name="20% - Accent2 11 2 2 2 2 3" xfId="12664" xr:uid="{00000000-0005-0000-0000-000085070000}"/>
    <cellStyle name="20% - Accent2 11 2 2 2 2 4" xfId="20619" xr:uid="{00000000-0005-0000-0000-000086070000}"/>
    <cellStyle name="20% - Accent2 11 2 2 2 3" xfId="6472" xr:uid="{00000000-0005-0000-0000-000087070000}"/>
    <cellStyle name="20% - Accent2 11 2 2 2 3 2" xfId="14444" xr:uid="{00000000-0005-0000-0000-000088070000}"/>
    <cellStyle name="20% - Accent2 11 2 2 2 3 3" xfId="22391" xr:uid="{00000000-0005-0000-0000-000089070000}"/>
    <cellStyle name="20% - Accent2 11 2 2 2 4" xfId="10908" xr:uid="{00000000-0005-0000-0000-00008A070000}"/>
    <cellStyle name="20% - Accent2 11 2 2 2 5" xfId="18863" xr:uid="{00000000-0005-0000-0000-00008B070000}"/>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3" xfId="23270" xr:uid="{00000000-0005-0000-0000-000090070000}"/>
    <cellStyle name="20% - Accent2 11 2 2 3 3" xfId="11786" xr:uid="{00000000-0005-0000-0000-000091070000}"/>
    <cellStyle name="20% - Accent2 11 2 2 3 4" xfId="19741" xr:uid="{00000000-0005-0000-0000-000092070000}"/>
    <cellStyle name="20% - Accent2 11 2 2 4" xfId="5581" xr:uid="{00000000-0005-0000-0000-000093070000}"/>
    <cellStyle name="20% - Accent2 11 2 2 4 2" xfId="13565" xr:uid="{00000000-0005-0000-0000-000094070000}"/>
    <cellStyle name="20% - Accent2 11 2 2 4 3" xfId="21513" xr:uid="{00000000-0005-0000-0000-000095070000}"/>
    <cellStyle name="20% - Accent2 11 2 2 5" xfId="9134" xr:uid="{00000000-0005-0000-0000-000096070000}"/>
    <cellStyle name="20% - Accent2 11 2 2 5 2" xfId="17092" xr:uid="{00000000-0005-0000-0000-000097070000}"/>
    <cellStyle name="20% - Accent2 11 2 2 5 3" xfId="25036" xr:uid="{00000000-0005-0000-0000-000098070000}"/>
    <cellStyle name="20% - Accent2 11 2 2 6" xfId="10030" xr:uid="{00000000-0005-0000-0000-000099070000}"/>
    <cellStyle name="20% - Accent2 11 2 2 7" xfId="17985" xr:uid="{00000000-0005-0000-0000-00009A070000}"/>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3" xfId="24147" xr:uid="{00000000-0005-0000-0000-0000A0070000}"/>
    <cellStyle name="20% - Accent2 11 2 3 2 3" xfId="12663" xr:uid="{00000000-0005-0000-0000-0000A1070000}"/>
    <cellStyle name="20% - Accent2 11 2 3 2 4" xfId="20618" xr:uid="{00000000-0005-0000-0000-0000A2070000}"/>
    <cellStyle name="20% - Accent2 11 2 3 3" xfId="6471" xr:uid="{00000000-0005-0000-0000-0000A3070000}"/>
    <cellStyle name="20% - Accent2 11 2 3 3 2" xfId="14443" xr:uid="{00000000-0005-0000-0000-0000A4070000}"/>
    <cellStyle name="20% - Accent2 11 2 3 3 3" xfId="22390" xr:uid="{00000000-0005-0000-0000-0000A5070000}"/>
    <cellStyle name="20% - Accent2 11 2 3 4" xfId="10907" xr:uid="{00000000-0005-0000-0000-0000A6070000}"/>
    <cellStyle name="20% - Accent2 11 2 3 5" xfId="18862" xr:uid="{00000000-0005-0000-0000-0000A7070000}"/>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3" xfId="23269" xr:uid="{00000000-0005-0000-0000-0000AC070000}"/>
    <cellStyle name="20% - Accent2 11 2 4 3" xfId="11785" xr:uid="{00000000-0005-0000-0000-0000AD070000}"/>
    <cellStyle name="20% - Accent2 11 2 4 4" xfId="19740" xr:uid="{00000000-0005-0000-0000-0000AE070000}"/>
    <cellStyle name="20% - Accent2 11 2 5" xfId="5580" xr:uid="{00000000-0005-0000-0000-0000AF070000}"/>
    <cellStyle name="20% - Accent2 11 2 5 2" xfId="13564" xr:uid="{00000000-0005-0000-0000-0000B0070000}"/>
    <cellStyle name="20% - Accent2 11 2 5 3" xfId="21512" xr:uid="{00000000-0005-0000-0000-0000B1070000}"/>
    <cellStyle name="20% - Accent2 11 2 6" xfId="9133" xr:uid="{00000000-0005-0000-0000-0000B2070000}"/>
    <cellStyle name="20% - Accent2 11 2 6 2" xfId="17091" xr:uid="{00000000-0005-0000-0000-0000B3070000}"/>
    <cellStyle name="20% - Accent2 11 2 6 3" xfId="25035" xr:uid="{00000000-0005-0000-0000-0000B4070000}"/>
    <cellStyle name="20% - Accent2 11 2 7" xfId="10029" xr:uid="{00000000-0005-0000-0000-0000B5070000}"/>
    <cellStyle name="20% - Accent2 11 2 8" xfId="17984" xr:uid="{00000000-0005-0000-0000-0000B6070000}"/>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3" xfId="24149" xr:uid="{00000000-0005-0000-0000-0000BD070000}"/>
    <cellStyle name="20% - Accent2 11 3 2 2 3" xfId="12665" xr:uid="{00000000-0005-0000-0000-0000BE070000}"/>
    <cellStyle name="20% - Accent2 11 3 2 2 4" xfId="20620" xr:uid="{00000000-0005-0000-0000-0000BF070000}"/>
    <cellStyle name="20% - Accent2 11 3 2 3" xfId="6473" xr:uid="{00000000-0005-0000-0000-0000C0070000}"/>
    <cellStyle name="20% - Accent2 11 3 2 3 2" xfId="14445" xr:uid="{00000000-0005-0000-0000-0000C1070000}"/>
    <cellStyle name="20% - Accent2 11 3 2 3 3" xfId="22392" xr:uid="{00000000-0005-0000-0000-0000C2070000}"/>
    <cellStyle name="20% - Accent2 11 3 2 4" xfId="10909" xr:uid="{00000000-0005-0000-0000-0000C3070000}"/>
    <cellStyle name="20% - Accent2 11 3 2 5" xfId="18864" xr:uid="{00000000-0005-0000-0000-0000C4070000}"/>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3" xfId="23271" xr:uid="{00000000-0005-0000-0000-0000C9070000}"/>
    <cellStyle name="20% - Accent2 11 3 3 3" xfId="11787" xr:uid="{00000000-0005-0000-0000-0000CA070000}"/>
    <cellStyle name="20% - Accent2 11 3 3 4" xfId="19742" xr:uid="{00000000-0005-0000-0000-0000CB070000}"/>
    <cellStyle name="20% - Accent2 11 3 4" xfId="5582" xr:uid="{00000000-0005-0000-0000-0000CC070000}"/>
    <cellStyle name="20% - Accent2 11 3 4 2" xfId="13566" xr:uid="{00000000-0005-0000-0000-0000CD070000}"/>
    <cellStyle name="20% - Accent2 11 3 4 3" xfId="21514" xr:uid="{00000000-0005-0000-0000-0000CE070000}"/>
    <cellStyle name="20% - Accent2 11 3 5" xfId="9135" xr:uid="{00000000-0005-0000-0000-0000CF070000}"/>
    <cellStyle name="20% - Accent2 11 3 5 2" xfId="17093" xr:uid="{00000000-0005-0000-0000-0000D0070000}"/>
    <cellStyle name="20% - Accent2 11 3 5 3" xfId="25037" xr:uid="{00000000-0005-0000-0000-0000D1070000}"/>
    <cellStyle name="20% - Accent2 11 3 6" xfId="10031" xr:uid="{00000000-0005-0000-0000-0000D2070000}"/>
    <cellStyle name="20% - Accent2 11 3 7" xfId="17986" xr:uid="{00000000-0005-0000-0000-0000D3070000}"/>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3" xfId="24146" xr:uid="{00000000-0005-0000-0000-0000D9070000}"/>
    <cellStyle name="20% - Accent2 11 4 2 3" xfId="12662" xr:uid="{00000000-0005-0000-0000-0000DA070000}"/>
    <cellStyle name="20% - Accent2 11 4 2 4" xfId="20617" xr:uid="{00000000-0005-0000-0000-0000DB070000}"/>
    <cellStyle name="20% - Accent2 11 4 3" xfId="6470" xr:uid="{00000000-0005-0000-0000-0000DC070000}"/>
    <cellStyle name="20% - Accent2 11 4 3 2" xfId="14442" xr:uid="{00000000-0005-0000-0000-0000DD070000}"/>
    <cellStyle name="20% - Accent2 11 4 3 3" xfId="22389" xr:uid="{00000000-0005-0000-0000-0000DE070000}"/>
    <cellStyle name="20% - Accent2 11 4 4" xfId="10906" xr:uid="{00000000-0005-0000-0000-0000DF070000}"/>
    <cellStyle name="20% - Accent2 11 4 5" xfId="18861" xr:uid="{00000000-0005-0000-0000-0000E0070000}"/>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3" xfId="23268" xr:uid="{00000000-0005-0000-0000-0000E5070000}"/>
    <cellStyle name="20% - Accent2 11 5 3" xfId="11784" xr:uid="{00000000-0005-0000-0000-0000E6070000}"/>
    <cellStyle name="20% - Accent2 11 5 4" xfId="19739" xr:uid="{00000000-0005-0000-0000-0000E7070000}"/>
    <cellStyle name="20% - Accent2 11 6" xfId="5579" xr:uid="{00000000-0005-0000-0000-0000E8070000}"/>
    <cellStyle name="20% - Accent2 11 6 2" xfId="13563" xr:uid="{00000000-0005-0000-0000-0000E9070000}"/>
    <cellStyle name="20% - Accent2 11 6 3" xfId="21511" xr:uid="{00000000-0005-0000-0000-0000EA070000}"/>
    <cellStyle name="20% - Accent2 11 7" xfId="9132" xr:uid="{00000000-0005-0000-0000-0000EB070000}"/>
    <cellStyle name="20% - Accent2 11 7 2" xfId="17090" xr:uid="{00000000-0005-0000-0000-0000EC070000}"/>
    <cellStyle name="20% - Accent2 11 7 3" xfId="25034" xr:uid="{00000000-0005-0000-0000-0000ED070000}"/>
    <cellStyle name="20% - Accent2 11 8" xfId="10028" xr:uid="{00000000-0005-0000-0000-0000EE070000}"/>
    <cellStyle name="20% - Accent2 11 9" xfId="17983" xr:uid="{00000000-0005-0000-0000-0000EF070000}"/>
    <cellStyle name="20% - Accent2 11_Exh G" xfId="2073" xr:uid="{00000000-0005-0000-0000-0000F0070000}"/>
    <cellStyle name="20% - Accent2 12" xfId="84" xr:uid="{00000000-0005-0000-0000-0000F1070000}"/>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3" xfId="24152" xr:uid="{00000000-0005-0000-0000-0000F8070000}"/>
    <cellStyle name="20% - Accent2 12 2 2 2 2 3" xfId="12668" xr:uid="{00000000-0005-0000-0000-0000F9070000}"/>
    <cellStyle name="20% - Accent2 12 2 2 2 2 4" xfId="20623" xr:uid="{00000000-0005-0000-0000-0000FA070000}"/>
    <cellStyle name="20% - Accent2 12 2 2 2 3" xfId="6476" xr:uid="{00000000-0005-0000-0000-0000FB070000}"/>
    <cellStyle name="20% - Accent2 12 2 2 2 3 2" xfId="14448" xr:uid="{00000000-0005-0000-0000-0000FC070000}"/>
    <cellStyle name="20% - Accent2 12 2 2 2 3 3" xfId="22395" xr:uid="{00000000-0005-0000-0000-0000FD070000}"/>
    <cellStyle name="20% - Accent2 12 2 2 2 4" xfId="10912" xr:uid="{00000000-0005-0000-0000-0000FE070000}"/>
    <cellStyle name="20% - Accent2 12 2 2 2 5" xfId="18867" xr:uid="{00000000-0005-0000-0000-0000FF070000}"/>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3" xfId="23274" xr:uid="{00000000-0005-0000-0000-000004080000}"/>
    <cellStyle name="20% - Accent2 12 2 2 3 3" xfId="11790" xr:uid="{00000000-0005-0000-0000-000005080000}"/>
    <cellStyle name="20% - Accent2 12 2 2 3 4" xfId="19745" xr:uid="{00000000-0005-0000-0000-000006080000}"/>
    <cellStyle name="20% - Accent2 12 2 2 4" xfId="5585" xr:uid="{00000000-0005-0000-0000-000007080000}"/>
    <cellStyle name="20% - Accent2 12 2 2 4 2" xfId="13569" xr:uid="{00000000-0005-0000-0000-000008080000}"/>
    <cellStyle name="20% - Accent2 12 2 2 4 3" xfId="21517" xr:uid="{00000000-0005-0000-0000-000009080000}"/>
    <cellStyle name="20% - Accent2 12 2 2 5" xfId="9138" xr:uid="{00000000-0005-0000-0000-00000A080000}"/>
    <cellStyle name="20% - Accent2 12 2 2 5 2" xfId="17096" xr:uid="{00000000-0005-0000-0000-00000B080000}"/>
    <cellStyle name="20% - Accent2 12 2 2 5 3" xfId="25040" xr:uid="{00000000-0005-0000-0000-00000C080000}"/>
    <cellStyle name="20% - Accent2 12 2 2 6" xfId="10034" xr:uid="{00000000-0005-0000-0000-00000D080000}"/>
    <cellStyle name="20% - Accent2 12 2 2 7" xfId="17989" xr:uid="{00000000-0005-0000-0000-00000E080000}"/>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3" xfId="24151" xr:uid="{00000000-0005-0000-0000-000014080000}"/>
    <cellStyle name="20% - Accent2 12 2 3 2 3" xfId="12667" xr:uid="{00000000-0005-0000-0000-000015080000}"/>
    <cellStyle name="20% - Accent2 12 2 3 2 4" xfId="20622" xr:uid="{00000000-0005-0000-0000-000016080000}"/>
    <cellStyle name="20% - Accent2 12 2 3 3" xfId="6475" xr:uid="{00000000-0005-0000-0000-000017080000}"/>
    <cellStyle name="20% - Accent2 12 2 3 3 2" xfId="14447" xr:uid="{00000000-0005-0000-0000-000018080000}"/>
    <cellStyle name="20% - Accent2 12 2 3 3 3" xfId="22394" xr:uid="{00000000-0005-0000-0000-000019080000}"/>
    <cellStyle name="20% - Accent2 12 2 3 4" xfId="10911" xr:uid="{00000000-0005-0000-0000-00001A080000}"/>
    <cellStyle name="20% - Accent2 12 2 3 5" xfId="18866" xr:uid="{00000000-0005-0000-0000-00001B080000}"/>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3" xfId="23273" xr:uid="{00000000-0005-0000-0000-000020080000}"/>
    <cellStyle name="20% - Accent2 12 2 4 3" xfId="11789" xr:uid="{00000000-0005-0000-0000-000021080000}"/>
    <cellStyle name="20% - Accent2 12 2 4 4" xfId="19744" xr:uid="{00000000-0005-0000-0000-000022080000}"/>
    <cellStyle name="20% - Accent2 12 2 5" xfId="5584" xr:uid="{00000000-0005-0000-0000-000023080000}"/>
    <cellStyle name="20% - Accent2 12 2 5 2" xfId="13568" xr:uid="{00000000-0005-0000-0000-000024080000}"/>
    <cellStyle name="20% - Accent2 12 2 5 3" xfId="21516" xr:uid="{00000000-0005-0000-0000-000025080000}"/>
    <cellStyle name="20% - Accent2 12 2 6" xfId="9137" xr:uid="{00000000-0005-0000-0000-000026080000}"/>
    <cellStyle name="20% - Accent2 12 2 6 2" xfId="17095" xr:uid="{00000000-0005-0000-0000-000027080000}"/>
    <cellStyle name="20% - Accent2 12 2 6 3" xfId="25039" xr:uid="{00000000-0005-0000-0000-000028080000}"/>
    <cellStyle name="20% - Accent2 12 2 7" xfId="10033" xr:uid="{00000000-0005-0000-0000-000029080000}"/>
    <cellStyle name="20% - Accent2 12 2 8" xfId="17988" xr:uid="{00000000-0005-0000-0000-00002A080000}"/>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3" xfId="24153" xr:uid="{00000000-0005-0000-0000-000031080000}"/>
    <cellStyle name="20% - Accent2 12 3 2 2 3" xfId="12669" xr:uid="{00000000-0005-0000-0000-000032080000}"/>
    <cellStyle name="20% - Accent2 12 3 2 2 4" xfId="20624" xr:uid="{00000000-0005-0000-0000-000033080000}"/>
    <cellStyle name="20% - Accent2 12 3 2 3" xfId="6477" xr:uid="{00000000-0005-0000-0000-000034080000}"/>
    <cellStyle name="20% - Accent2 12 3 2 3 2" xfId="14449" xr:uid="{00000000-0005-0000-0000-000035080000}"/>
    <cellStyle name="20% - Accent2 12 3 2 3 3" xfId="22396" xr:uid="{00000000-0005-0000-0000-000036080000}"/>
    <cellStyle name="20% - Accent2 12 3 2 4" xfId="10913" xr:uid="{00000000-0005-0000-0000-000037080000}"/>
    <cellStyle name="20% - Accent2 12 3 2 5" xfId="18868" xr:uid="{00000000-0005-0000-0000-000038080000}"/>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3" xfId="23275" xr:uid="{00000000-0005-0000-0000-00003D080000}"/>
    <cellStyle name="20% - Accent2 12 3 3 3" xfId="11791" xr:uid="{00000000-0005-0000-0000-00003E080000}"/>
    <cellStyle name="20% - Accent2 12 3 3 4" xfId="19746" xr:uid="{00000000-0005-0000-0000-00003F080000}"/>
    <cellStyle name="20% - Accent2 12 3 4" xfId="5586" xr:uid="{00000000-0005-0000-0000-000040080000}"/>
    <cellStyle name="20% - Accent2 12 3 4 2" xfId="13570" xr:uid="{00000000-0005-0000-0000-000041080000}"/>
    <cellStyle name="20% - Accent2 12 3 4 3" xfId="21518" xr:uid="{00000000-0005-0000-0000-000042080000}"/>
    <cellStyle name="20% - Accent2 12 3 5" xfId="9139" xr:uid="{00000000-0005-0000-0000-000043080000}"/>
    <cellStyle name="20% - Accent2 12 3 5 2" xfId="17097" xr:uid="{00000000-0005-0000-0000-000044080000}"/>
    <cellStyle name="20% - Accent2 12 3 5 3" xfId="25041" xr:uid="{00000000-0005-0000-0000-000045080000}"/>
    <cellStyle name="20% - Accent2 12 3 6" xfId="10035" xr:uid="{00000000-0005-0000-0000-000046080000}"/>
    <cellStyle name="20% - Accent2 12 3 7" xfId="17990" xr:uid="{00000000-0005-0000-0000-00004708000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3" xfId="24150" xr:uid="{00000000-0005-0000-0000-00004D080000}"/>
    <cellStyle name="20% - Accent2 12 4 2 3" xfId="12666" xr:uid="{00000000-0005-0000-0000-00004E080000}"/>
    <cellStyle name="20% - Accent2 12 4 2 4" xfId="20621" xr:uid="{00000000-0005-0000-0000-00004F080000}"/>
    <cellStyle name="20% - Accent2 12 4 3" xfId="6474" xr:uid="{00000000-0005-0000-0000-000050080000}"/>
    <cellStyle name="20% - Accent2 12 4 3 2" xfId="14446" xr:uid="{00000000-0005-0000-0000-000051080000}"/>
    <cellStyle name="20% - Accent2 12 4 3 3" xfId="22393" xr:uid="{00000000-0005-0000-0000-000052080000}"/>
    <cellStyle name="20% - Accent2 12 4 4" xfId="10910" xr:uid="{00000000-0005-0000-0000-000053080000}"/>
    <cellStyle name="20% - Accent2 12 4 5" xfId="18865" xr:uid="{00000000-0005-0000-0000-000054080000}"/>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3" xfId="23272" xr:uid="{00000000-0005-0000-0000-000059080000}"/>
    <cellStyle name="20% - Accent2 12 5 3" xfId="11788" xr:uid="{00000000-0005-0000-0000-00005A080000}"/>
    <cellStyle name="20% - Accent2 12 5 4" xfId="19743" xr:uid="{00000000-0005-0000-0000-00005B080000}"/>
    <cellStyle name="20% - Accent2 12 6" xfId="5583" xr:uid="{00000000-0005-0000-0000-00005C080000}"/>
    <cellStyle name="20% - Accent2 12 6 2" xfId="13567" xr:uid="{00000000-0005-0000-0000-00005D080000}"/>
    <cellStyle name="20% - Accent2 12 6 3" xfId="21515" xr:uid="{00000000-0005-0000-0000-00005E080000}"/>
    <cellStyle name="20% - Accent2 12 7" xfId="9136" xr:uid="{00000000-0005-0000-0000-00005F080000}"/>
    <cellStyle name="20% - Accent2 12 7 2" xfId="17094" xr:uid="{00000000-0005-0000-0000-000060080000}"/>
    <cellStyle name="20% - Accent2 12 7 3" xfId="25038" xr:uid="{00000000-0005-0000-0000-000061080000}"/>
    <cellStyle name="20% - Accent2 12 8" xfId="10032" xr:uid="{00000000-0005-0000-0000-000062080000}"/>
    <cellStyle name="20% - Accent2 12 9" xfId="17987" xr:uid="{00000000-0005-0000-0000-000063080000}"/>
    <cellStyle name="20% - Accent2 12_Exh G" xfId="2081" xr:uid="{00000000-0005-0000-0000-000064080000}"/>
    <cellStyle name="20% - Accent2 13" xfId="88" xr:uid="{00000000-0005-0000-0000-000065080000}"/>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3" xfId="24156" xr:uid="{00000000-0005-0000-0000-00006C080000}"/>
    <cellStyle name="20% - Accent2 13 2 2 2 2 3" xfId="12672" xr:uid="{00000000-0005-0000-0000-00006D080000}"/>
    <cellStyle name="20% - Accent2 13 2 2 2 2 4" xfId="20627" xr:uid="{00000000-0005-0000-0000-00006E080000}"/>
    <cellStyle name="20% - Accent2 13 2 2 2 3" xfId="6480" xr:uid="{00000000-0005-0000-0000-00006F080000}"/>
    <cellStyle name="20% - Accent2 13 2 2 2 3 2" xfId="14452" xr:uid="{00000000-0005-0000-0000-000070080000}"/>
    <cellStyle name="20% - Accent2 13 2 2 2 3 3" xfId="22399" xr:uid="{00000000-0005-0000-0000-000071080000}"/>
    <cellStyle name="20% - Accent2 13 2 2 2 4" xfId="10916" xr:uid="{00000000-0005-0000-0000-000072080000}"/>
    <cellStyle name="20% - Accent2 13 2 2 2 5" xfId="18871" xr:uid="{00000000-0005-0000-0000-000073080000}"/>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3" xfId="23278" xr:uid="{00000000-0005-0000-0000-000078080000}"/>
    <cellStyle name="20% - Accent2 13 2 2 3 3" xfId="11794" xr:uid="{00000000-0005-0000-0000-000079080000}"/>
    <cellStyle name="20% - Accent2 13 2 2 3 4" xfId="19749" xr:uid="{00000000-0005-0000-0000-00007A080000}"/>
    <cellStyle name="20% - Accent2 13 2 2 4" xfId="5589" xr:uid="{00000000-0005-0000-0000-00007B080000}"/>
    <cellStyle name="20% - Accent2 13 2 2 4 2" xfId="13573" xr:uid="{00000000-0005-0000-0000-00007C080000}"/>
    <cellStyle name="20% - Accent2 13 2 2 4 3" xfId="21521" xr:uid="{00000000-0005-0000-0000-00007D080000}"/>
    <cellStyle name="20% - Accent2 13 2 2 5" xfId="9142" xr:uid="{00000000-0005-0000-0000-00007E080000}"/>
    <cellStyle name="20% - Accent2 13 2 2 5 2" xfId="17100" xr:uid="{00000000-0005-0000-0000-00007F080000}"/>
    <cellStyle name="20% - Accent2 13 2 2 5 3" xfId="25044" xr:uid="{00000000-0005-0000-0000-000080080000}"/>
    <cellStyle name="20% - Accent2 13 2 2 6" xfId="10038" xr:uid="{00000000-0005-0000-0000-000081080000}"/>
    <cellStyle name="20% - Accent2 13 2 2 7" xfId="17993" xr:uid="{00000000-0005-0000-0000-000082080000}"/>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3" xfId="24155" xr:uid="{00000000-0005-0000-0000-000088080000}"/>
    <cellStyle name="20% - Accent2 13 2 3 2 3" xfId="12671" xr:uid="{00000000-0005-0000-0000-000089080000}"/>
    <cellStyle name="20% - Accent2 13 2 3 2 4" xfId="20626" xr:uid="{00000000-0005-0000-0000-00008A080000}"/>
    <cellStyle name="20% - Accent2 13 2 3 3" xfId="6479" xr:uid="{00000000-0005-0000-0000-00008B080000}"/>
    <cellStyle name="20% - Accent2 13 2 3 3 2" xfId="14451" xr:uid="{00000000-0005-0000-0000-00008C080000}"/>
    <cellStyle name="20% - Accent2 13 2 3 3 3" xfId="22398" xr:uid="{00000000-0005-0000-0000-00008D080000}"/>
    <cellStyle name="20% - Accent2 13 2 3 4" xfId="10915" xr:uid="{00000000-0005-0000-0000-00008E080000}"/>
    <cellStyle name="20% - Accent2 13 2 3 5" xfId="18870" xr:uid="{00000000-0005-0000-0000-00008F080000}"/>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3" xfId="23277" xr:uid="{00000000-0005-0000-0000-000094080000}"/>
    <cellStyle name="20% - Accent2 13 2 4 3" xfId="11793" xr:uid="{00000000-0005-0000-0000-000095080000}"/>
    <cellStyle name="20% - Accent2 13 2 4 4" xfId="19748" xr:uid="{00000000-0005-0000-0000-000096080000}"/>
    <cellStyle name="20% - Accent2 13 2 5" xfId="5588" xr:uid="{00000000-0005-0000-0000-000097080000}"/>
    <cellStyle name="20% - Accent2 13 2 5 2" xfId="13572" xr:uid="{00000000-0005-0000-0000-000098080000}"/>
    <cellStyle name="20% - Accent2 13 2 5 3" xfId="21520" xr:uid="{00000000-0005-0000-0000-000099080000}"/>
    <cellStyle name="20% - Accent2 13 2 6" xfId="9141" xr:uid="{00000000-0005-0000-0000-00009A080000}"/>
    <cellStyle name="20% - Accent2 13 2 6 2" xfId="17099" xr:uid="{00000000-0005-0000-0000-00009B080000}"/>
    <cellStyle name="20% - Accent2 13 2 6 3" xfId="25043" xr:uid="{00000000-0005-0000-0000-00009C080000}"/>
    <cellStyle name="20% - Accent2 13 2 7" xfId="10037" xr:uid="{00000000-0005-0000-0000-00009D080000}"/>
    <cellStyle name="20% - Accent2 13 2 8" xfId="17992" xr:uid="{00000000-0005-0000-0000-00009E080000}"/>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3" xfId="24157" xr:uid="{00000000-0005-0000-0000-0000A5080000}"/>
    <cellStyle name="20% - Accent2 13 3 2 2 3" xfId="12673" xr:uid="{00000000-0005-0000-0000-0000A6080000}"/>
    <cellStyle name="20% - Accent2 13 3 2 2 4" xfId="20628" xr:uid="{00000000-0005-0000-0000-0000A7080000}"/>
    <cellStyle name="20% - Accent2 13 3 2 3" xfId="6481" xr:uid="{00000000-0005-0000-0000-0000A8080000}"/>
    <cellStyle name="20% - Accent2 13 3 2 3 2" xfId="14453" xr:uid="{00000000-0005-0000-0000-0000A9080000}"/>
    <cellStyle name="20% - Accent2 13 3 2 3 3" xfId="22400" xr:uid="{00000000-0005-0000-0000-0000AA080000}"/>
    <cellStyle name="20% - Accent2 13 3 2 4" xfId="10917" xr:uid="{00000000-0005-0000-0000-0000AB080000}"/>
    <cellStyle name="20% - Accent2 13 3 2 5" xfId="18872" xr:uid="{00000000-0005-0000-0000-0000AC080000}"/>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3" xfId="23279" xr:uid="{00000000-0005-0000-0000-0000B1080000}"/>
    <cellStyle name="20% - Accent2 13 3 3 3" xfId="11795" xr:uid="{00000000-0005-0000-0000-0000B2080000}"/>
    <cellStyle name="20% - Accent2 13 3 3 4" xfId="19750" xr:uid="{00000000-0005-0000-0000-0000B3080000}"/>
    <cellStyle name="20% - Accent2 13 3 4" xfId="5590" xr:uid="{00000000-0005-0000-0000-0000B4080000}"/>
    <cellStyle name="20% - Accent2 13 3 4 2" xfId="13574" xr:uid="{00000000-0005-0000-0000-0000B5080000}"/>
    <cellStyle name="20% - Accent2 13 3 4 3" xfId="21522" xr:uid="{00000000-0005-0000-0000-0000B6080000}"/>
    <cellStyle name="20% - Accent2 13 3 5" xfId="9143" xr:uid="{00000000-0005-0000-0000-0000B7080000}"/>
    <cellStyle name="20% - Accent2 13 3 5 2" xfId="17101" xr:uid="{00000000-0005-0000-0000-0000B8080000}"/>
    <cellStyle name="20% - Accent2 13 3 5 3" xfId="25045" xr:uid="{00000000-0005-0000-0000-0000B9080000}"/>
    <cellStyle name="20% - Accent2 13 3 6" xfId="10039" xr:uid="{00000000-0005-0000-0000-0000BA080000}"/>
    <cellStyle name="20% - Accent2 13 3 7" xfId="17994" xr:uid="{00000000-0005-0000-0000-0000BB080000}"/>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3" xfId="24154" xr:uid="{00000000-0005-0000-0000-0000C1080000}"/>
    <cellStyle name="20% - Accent2 13 4 2 3" xfId="12670" xr:uid="{00000000-0005-0000-0000-0000C2080000}"/>
    <cellStyle name="20% - Accent2 13 4 2 4" xfId="20625" xr:uid="{00000000-0005-0000-0000-0000C3080000}"/>
    <cellStyle name="20% - Accent2 13 4 3" xfId="6478" xr:uid="{00000000-0005-0000-0000-0000C4080000}"/>
    <cellStyle name="20% - Accent2 13 4 3 2" xfId="14450" xr:uid="{00000000-0005-0000-0000-0000C5080000}"/>
    <cellStyle name="20% - Accent2 13 4 3 3" xfId="22397" xr:uid="{00000000-0005-0000-0000-0000C6080000}"/>
    <cellStyle name="20% - Accent2 13 4 4" xfId="10914" xr:uid="{00000000-0005-0000-0000-0000C7080000}"/>
    <cellStyle name="20% - Accent2 13 4 5" xfId="18869" xr:uid="{00000000-0005-0000-0000-0000C8080000}"/>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3" xfId="23276" xr:uid="{00000000-0005-0000-0000-0000CD080000}"/>
    <cellStyle name="20% - Accent2 13 5 3" xfId="11792" xr:uid="{00000000-0005-0000-0000-0000CE080000}"/>
    <cellStyle name="20% - Accent2 13 5 4" xfId="19747" xr:uid="{00000000-0005-0000-0000-0000CF080000}"/>
    <cellStyle name="20% - Accent2 13 6" xfId="5587" xr:uid="{00000000-0005-0000-0000-0000D0080000}"/>
    <cellStyle name="20% - Accent2 13 6 2" xfId="13571" xr:uid="{00000000-0005-0000-0000-0000D1080000}"/>
    <cellStyle name="20% - Accent2 13 6 3" xfId="21519" xr:uid="{00000000-0005-0000-0000-0000D2080000}"/>
    <cellStyle name="20% - Accent2 13 7" xfId="9140" xr:uid="{00000000-0005-0000-0000-0000D3080000}"/>
    <cellStyle name="20% - Accent2 13 7 2" xfId="17098" xr:uid="{00000000-0005-0000-0000-0000D4080000}"/>
    <cellStyle name="20% - Accent2 13 7 3" xfId="25042" xr:uid="{00000000-0005-0000-0000-0000D5080000}"/>
    <cellStyle name="20% - Accent2 13 8" xfId="10036" xr:uid="{00000000-0005-0000-0000-0000D6080000}"/>
    <cellStyle name="20% - Accent2 13 9" xfId="17991" xr:uid="{00000000-0005-0000-0000-0000D7080000}"/>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3" xfId="24159" xr:uid="{00000000-0005-0000-0000-0000DF080000}"/>
    <cellStyle name="20% - Accent2 14 2 2 2 3" xfId="12675" xr:uid="{00000000-0005-0000-0000-0000E0080000}"/>
    <cellStyle name="20% - Accent2 14 2 2 2 4" xfId="20630" xr:uid="{00000000-0005-0000-0000-0000E1080000}"/>
    <cellStyle name="20% - Accent2 14 2 2 3" xfId="6483" xr:uid="{00000000-0005-0000-0000-0000E2080000}"/>
    <cellStyle name="20% - Accent2 14 2 2 3 2" xfId="14455" xr:uid="{00000000-0005-0000-0000-0000E3080000}"/>
    <cellStyle name="20% - Accent2 14 2 2 3 3" xfId="22402" xr:uid="{00000000-0005-0000-0000-0000E4080000}"/>
    <cellStyle name="20% - Accent2 14 2 2 4" xfId="10919" xr:uid="{00000000-0005-0000-0000-0000E5080000}"/>
    <cellStyle name="20% - Accent2 14 2 2 5" xfId="18874" xr:uid="{00000000-0005-0000-0000-0000E6080000}"/>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3" xfId="23281" xr:uid="{00000000-0005-0000-0000-0000EB080000}"/>
    <cellStyle name="20% - Accent2 14 2 3 3" xfId="11797" xr:uid="{00000000-0005-0000-0000-0000EC080000}"/>
    <cellStyle name="20% - Accent2 14 2 3 4" xfId="19752" xr:uid="{00000000-0005-0000-0000-0000ED080000}"/>
    <cellStyle name="20% - Accent2 14 2 4" xfId="5592" xr:uid="{00000000-0005-0000-0000-0000EE080000}"/>
    <cellStyle name="20% - Accent2 14 2 4 2" xfId="13576" xr:uid="{00000000-0005-0000-0000-0000EF080000}"/>
    <cellStyle name="20% - Accent2 14 2 4 3" xfId="21524" xr:uid="{00000000-0005-0000-0000-0000F0080000}"/>
    <cellStyle name="20% - Accent2 14 2 5" xfId="9145" xr:uid="{00000000-0005-0000-0000-0000F1080000}"/>
    <cellStyle name="20% - Accent2 14 2 5 2" xfId="17103" xr:uid="{00000000-0005-0000-0000-0000F2080000}"/>
    <cellStyle name="20% - Accent2 14 2 5 3" xfId="25047" xr:uid="{00000000-0005-0000-0000-0000F3080000}"/>
    <cellStyle name="20% - Accent2 14 2 6" xfId="10041" xr:uid="{00000000-0005-0000-0000-0000F4080000}"/>
    <cellStyle name="20% - Accent2 14 2 7" xfId="17996" xr:uid="{00000000-0005-0000-0000-0000F5080000}"/>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3" xfId="24158" xr:uid="{00000000-0005-0000-0000-0000FB080000}"/>
    <cellStyle name="20% - Accent2 14 3 2 3" xfId="12674" xr:uid="{00000000-0005-0000-0000-0000FC080000}"/>
    <cellStyle name="20% - Accent2 14 3 2 4" xfId="20629" xr:uid="{00000000-0005-0000-0000-0000FD080000}"/>
    <cellStyle name="20% - Accent2 14 3 3" xfId="6482" xr:uid="{00000000-0005-0000-0000-0000FE080000}"/>
    <cellStyle name="20% - Accent2 14 3 3 2" xfId="14454" xr:uid="{00000000-0005-0000-0000-0000FF080000}"/>
    <cellStyle name="20% - Accent2 14 3 3 3" xfId="22401" xr:uid="{00000000-0005-0000-0000-000000090000}"/>
    <cellStyle name="20% - Accent2 14 3 4" xfId="10918" xr:uid="{00000000-0005-0000-0000-000001090000}"/>
    <cellStyle name="20% - Accent2 14 3 5" xfId="18873" xr:uid="{00000000-0005-0000-0000-000002090000}"/>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3" xfId="23280" xr:uid="{00000000-0005-0000-0000-000007090000}"/>
    <cellStyle name="20% - Accent2 14 4 3" xfId="11796" xr:uid="{00000000-0005-0000-0000-000008090000}"/>
    <cellStyle name="20% - Accent2 14 4 4" xfId="19751" xr:uid="{00000000-0005-0000-0000-000009090000}"/>
    <cellStyle name="20% - Accent2 14 5" xfId="5591" xr:uid="{00000000-0005-0000-0000-00000A090000}"/>
    <cellStyle name="20% - Accent2 14 5 2" xfId="13575" xr:uid="{00000000-0005-0000-0000-00000B090000}"/>
    <cellStyle name="20% - Accent2 14 5 3" xfId="21523" xr:uid="{00000000-0005-0000-0000-00000C090000}"/>
    <cellStyle name="20% - Accent2 14 6" xfId="9144" xr:uid="{00000000-0005-0000-0000-00000D090000}"/>
    <cellStyle name="20% - Accent2 14 6 2" xfId="17102" xr:uid="{00000000-0005-0000-0000-00000E090000}"/>
    <cellStyle name="20% - Accent2 14 6 3" xfId="25046" xr:uid="{00000000-0005-0000-0000-00000F090000}"/>
    <cellStyle name="20% - Accent2 14 7" xfId="10040" xr:uid="{00000000-0005-0000-0000-000010090000}"/>
    <cellStyle name="20% - Accent2 14 8" xfId="17995" xr:uid="{00000000-0005-0000-0000-000011090000}"/>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3" xfId="24160" xr:uid="{00000000-0005-0000-0000-000018090000}"/>
    <cellStyle name="20% - Accent2 15 2 2 3" xfId="12676" xr:uid="{00000000-0005-0000-0000-000019090000}"/>
    <cellStyle name="20% - Accent2 15 2 2 4" xfId="20631" xr:uid="{00000000-0005-0000-0000-00001A090000}"/>
    <cellStyle name="20% - Accent2 15 2 3" xfId="6484" xr:uid="{00000000-0005-0000-0000-00001B090000}"/>
    <cellStyle name="20% - Accent2 15 2 3 2" xfId="14456" xr:uid="{00000000-0005-0000-0000-00001C090000}"/>
    <cellStyle name="20% - Accent2 15 2 3 3" xfId="22403" xr:uid="{00000000-0005-0000-0000-00001D090000}"/>
    <cellStyle name="20% - Accent2 15 2 4" xfId="10920" xr:uid="{00000000-0005-0000-0000-00001E090000}"/>
    <cellStyle name="20% - Accent2 15 2 5" xfId="18875" xr:uid="{00000000-0005-0000-0000-00001F090000}"/>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3" xfId="23282" xr:uid="{00000000-0005-0000-0000-000024090000}"/>
    <cellStyle name="20% - Accent2 15 3 3" xfId="11798" xr:uid="{00000000-0005-0000-0000-000025090000}"/>
    <cellStyle name="20% - Accent2 15 3 4" xfId="19753" xr:uid="{00000000-0005-0000-0000-000026090000}"/>
    <cellStyle name="20% - Accent2 15 4" xfId="5593" xr:uid="{00000000-0005-0000-0000-000027090000}"/>
    <cellStyle name="20% - Accent2 15 4 2" xfId="13577" xr:uid="{00000000-0005-0000-0000-000028090000}"/>
    <cellStyle name="20% - Accent2 15 4 3" xfId="21525" xr:uid="{00000000-0005-0000-0000-000029090000}"/>
    <cellStyle name="20% - Accent2 15 5" xfId="9146" xr:uid="{00000000-0005-0000-0000-00002A090000}"/>
    <cellStyle name="20% - Accent2 15 5 2" xfId="17104" xr:uid="{00000000-0005-0000-0000-00002B090000}"/>
    <cellStyle name="20% - Accent2 15 5 3" xfId="25048" xr:uid="{00000000-0005-0000-0000-00002C090000}"/>
    <cellStyle name="20% - Accent2 15 6" xfId="10042" xr:uid="{00000000-0005-0000-0000-00002D090000}"/>
    <cellStyle name="20% - Accent2 15 7" xfId="17997" xr:uid="{00000000-0005-0000-0000-00002E090000}"/>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3" xfId="24812" xr:uid="{00000000-0005-0000-0000-000035090000}"/>
    <cellStyle name="20% - Accent2 16 2 2 3" xfId="13328" xr:uid="{00000000-0005-0000-0000-000036090000}"/>
    <cellStyle name="20% - Accent2 16 2 2 4" xfId="21283" xr:uid="{00000000-0005-0000-0000-000037090000}"/>
    <cellStyle name="20% - Accent2 16 2 3" xfId="7136" xr:uid="{00000000-0005-0000-0000-000038090000}"/>
    <cellStyle name="20% - Accent2 16 2 3 2" xfId="15108" xr:uid="{00000000-0005-0000-0000-000039090000}"/>
    <cellStyle name="20% - Accent2 16 2 3 3" xfId="23055" xr:uid="{00000000-0005-0000-0000-00003A090000}"/>
    <cellStyle name="20% - Accent2 16 2 4" xfId="11572" xr:uid="{00000000-0005-0000-0000-00003B090000}"/>
    <cellStyle name="20% - Accent2 16 2 5" xfId="19527" xr:uid="{00000000-0005-0000-0000-00003C090000}"/>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3" xfId="23934" xr:uid="{00000000-0005-0000-0000-000041090000}"/>
    <cellStyle name="20% - Accent2 16 3 3" xfId="12450" xr:uid="{00000000-0005-0000-0000-000042090000}"/>
    <cellStyle name="20% - Accent2 16 3 4" xfId="20405" xr:uid="{00000000-0005-0000-0000-000043090000}"/>
    <cellStyle name="20% - Accent2 16 4" xfId="6255" xr:uid="{00000000-0005-0000-0000-000044090000}"/>
    <cellStyle name="20% - Accent2 16 4 2" xfId="14230" xr:uid="{00000000-0005-0000-0000-000045090000}"/>
    <cellStyle name="20% - Accent2 16 4 3" xfId="22177" xr:uid="{00000000-0005-0000-0000-000046090000}"/>
    <cellStyle name="20% - Accent2 16 5" xfId="9798" xr:uid="{00000000-0005-0000-0000-000047090000}"/>
    <cellStyle name="20% - Accent2 16 5 2" xfId="17756" xr:uid="{00000000-0005-0000-0000-000048090000}"/>
    <cellStyle name="20% - Accent2 16 5 3" xfId="25700" xr:uid="{00000000-0005-0000-0000-000049090000}"/>
    <cellStyle name="20% - Accent2 16 6" xfId="10694" xr:uid="{00000000-0005-0000-0000-00004A090000}"/>
    <cellStyle name="20% - Accent2 16 7" xfId="18649" xr:uid="{00000000-0005-0000-0000-00004B090000}"/>
    <cellStyle name="20% - Accent2 16_Exh G" xfId="2103" xr:uid="{00000000-0005-0000-0000-00004C090000}"/>
    <cellStyle name="20% - Accent2 2" xfId="95" xr:uid="{00000000-0005-0000-0000-00004D090000}"/>
    <cellStyle name="20% - Accent2 2 10" xfId="17998" xr:uid="{00000000-0005-0000-0000-00004E090000}"/>
    <cellStyle name="20% - Accent2 2 2" xfId="96" xr:uid="{00000000-0005-0000-0000-00004F090000}"/>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3" xfId="24163" xr:uid="{00000000-0005-0000-0000-000055090000}"/>
    <cellStyle name="20% - Accent2 2 2 2 2 2 3" xfId="12679" xr:uid="{00000000-0005-0000-0000-000056090000}"/>
    <cellStyle name="20% - Accent2 2 2 2 2 2 4" xfId="20634" xr:uid="{00000000-0005-0000-0000-000057090000}"/>
    <cellStyle name="20% - Accent2 2 2 2 2 3" xfId="6487" xr:uid="{00000000-0005-0000-0000-000058090000}"/>
    <cellStyle name="20% - Accent2 2 2 2 2 3 2" xfId="14459" xr:uid="{00000000-0005-0000-0000-000059090000}"/>
    <cellStyle name="20% - Accent2 2 2 2 2 3 3" xfId="22406" xr:uid="{00000000-0005-0000-0000-00005A090000}"/>
    <cellStyle name="20% - Accent2 2 2 2 2 4" xfId="10923" xr:uid="{00000000-0005-0000-0000-00005B090000}"/>
    <cellStyle name="20% - Accent2 2 2 2 2 5" xfId="18878" xr:uid="{00000000-0005-0000-0000-00005C090000}"/>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3" xfId="23285" xr:uid="{00000000-0005-0000-0000-000061090000}"/>
    <cellStyle name="20% - Accent2 2 2 2 3 3" xfId="11801" xr:uid="{00000000-0005-0000-0000-000062090000}"/>
    <cellStyle name="20% - Accent2 2 2 2 3 4" xfId="19756" xr:uid="{00000000-0005-0000-0000-000063090000}"/>
    <cellStyle name="20% - Accent2 2 2 2 4" xfId="5596" xr:uid="{00000000-0005-0000-0000-000064090000}"/>
    <cellStyle name="20% - Accent2 2 2 2 4 2" xfId="13580" xr:uid="{00000000-0005-0000-0000-000065090000}"/>
    <cellStyle name="20% - Accent2 2 2 2 4 3" xfId="21528" xr:uid="{00000000-0005-0000-0000-000066090000}"/>
    <cellStyle name="20% - Accent2 2 2 2 5" xfId="9149" xr:uid="{00000000-0005-0000-0000-000067090000}"/>
    <cellStyle name="20% - Accent2 2 2 2 5 2" xfId="17107" xr:uid="{00000000-0005-0000-0000-000068090000}"/>
    <cellStyle name="20% - Accent2 2 2 2 5 3" xfId="25051" xr:uid="{00000000-0005-0000-0000-000069090000}"/>
    <cellStyle name="20% - Accent2 2 2 2 6" xfId="10045" xr:uid="{00000000-0005-0000-0000-00006A090000}"/>
    <cellStyle name="20% - Accent2 2 2 2 7" xfId="18000" xr:uid="{00000000-0005-0000-0000-00006B090000}"/>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3" xfId="24836" xr:uid="{00000000-0005-0000-0000-000072090000}"/>
    <cellStyle name="20% - Accent2 2 2 3 2 2 3" xfId="13352" xr:uid="{00000000-0005-0000-0000-000073090000}"/>
    <cellStyle name="20% - Accent2 2 2 3 2 2 4" xfId="21307" xr:uid="{00000000-0005-0000-0000-000074090000}"/>
    <cellStyle name="20% - Accent2 2 2 3 2 3" xfId="7160" xr:uid="{00000000-0005-0000-0000-000075090000}"/>
    <cellStyle name="20% - Accent2 2 2 3 2 3 2" xfId="15132" xr:uid="{00000000-0005-0000-0000-000076090000}"/>
    <cellStyle name="20% - Accent2 2 2 3 2 3 3" xfId="23079" xr:uid="{00000000-0005-0000-0000-000077090000}"/>
    <cellStyle name="20% - Accent2 2 2 3 2 4" xfId="11596" xr:uid="{00000000-0005-0000-0000-000078090000}"/>
    <cellStyle name="20% - Accent2 2 2 3 2 5" xfId="19551" xr:uid="{00000000-0005-0000-0000-000079090000}"/>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3" xfId="23958" xr:uid="{00000000-0005-0000-0000-00007E090000}"/>
    <cellStyle name="20% - Accent2 2 2 3 3 3" xfId="12474" xr:uid="{00000000-0005-0000-0000-00007F090000}"/>
    <cellStyle name="20% - Accent2 2 2 3 3 4" xfId="20429" xr:uid="{00000000-0005-0000-0000-000080090000}"/>
    <cellStyle name="20% - Accent2 2 2 3 4" xfId="6279" xr:uid="{00000000-0005-0000-0000-000081090000}"/>
    <cellStyle name="20% - Accent2 2 2 3 4 2" xfId="14254" xr:uid="{00000000-0005-0000-0000-000082090000}"/>
    <cellStyle name="20% - Accent2 2 2 3 4 3" xfId="22201" xr:uid="{00000000-0005-0000-0000-000083090000}"/>
    <cellStyle name="20% - Accent2 2 2 3 5" xfId="9822" xr:uid="{00000000-0005-0000-0000-000084090000}"/>
    <cellStyle name="20% - Accent2 2 2 3 5 2" xfId="17780" xr:uid="{00000000-0005-0000-0000-000085090000}"/>
    <cellStyle name="20% - Accent2 2 2 3 5 3" xfId="25724" xr:uid="{00000000-0005-0000-0000-000086090000}"/>
    <cellStyle name="20% - Accent2 2 2 3 6" xfId="10718" xr:uid="{00000000-0005-0000-0000-000087090000}"/>
    <cellStyle name="20% - Accent2 2 2 3 7" xfId="18673" xr:uid="{00000000-0005-0000-0000-000088090000}"/>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3" xfId="24162" xr:uid="{00000000-0005-0000-0000-00008E090000}"/>
    <cellStyle name="20% - Accent2 2 2 4 2 3" xfId="12678" xr:uid="{00000000-0005-0000-0000-00008F090000}"/>
    <cellStyle name="20% - Accent2 2 2 4 2 4" xfId="20633" xr:uid="{00000000-0005-0000-0000-000090090000}"/>
    <cellStyle name="20% - Accent2 2 2 4 3" xfId="6486" xr:uid="{00000000-0005-0000-0000-000091090000}"/>
    <cellStyle name="20% - Accent2 2 2 4 3 2" xfId="14458" xr:uid="{00000000-0005-0000-0000-000092090000}"/>
    <cellStyle name="20% - Accent2 2 2 4 3 3" xfId="22405" xr:uid="{00000000-0005-0000-0000-000093090000}"/>
    <cellStyle name="20% - Accent2 2 2 4 4" xfId="10922" xr:uid="{00000000-0005-0000-0000-000094090000}"/>
    <cellStyle name="20% - Accent2 2 2 4 5" xfId="18877" xr:uid="{00000000-0005-0000-0000-000095090000}"/>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3" xfId="23284" xr:uid="{00000000-0005-0000-0000-00009A090000}"/>
    <cellStyle name="20% - Accent2 2 2 5 3" xfId="11800" xr:uid="{00000000-0005-0000-0000-00009B090000}"/>
    <cellStyle name="20% - Accent2 2 2 5 4" xfId="19755" xr:uid="{00000000-0005-0000-0000-00009C090000}"/>
    <cellStyle name="20% - Accent2 2 2 6" xfId="5595" xr:uid="{00000000-0005-0000-0000-00009D090000}"/>
    <cellStyle name="20% - Accent2 2 2 6 2" xfId="13579" xr:uid="{00000000-0005-0000-0000-00009E090000}"/>
    <cellStyle name="20% - Accent2 2 2 6 3" xfId="21527" xr:uid="{00000000-0005-0000-0000-00009F090000}"/>
    <cellStyle name="20% - Accent2 2 2 7" xfId="9148" xr:uid="{00000000-0005-0000-0000-0000A0090000}"/>
    <cellStyle name="20% - Accent2 2 2 7 2" xfId="17106" xr:uid="{00000000-0005-0000-0000-0000A1090000}"/>
    <cellStyle name="20% - Accent2 2 2 7 3" xfId="25050" xr:uid="{00000000-0005-0000-0000-0000A2090000}"/>
    <cellStyle name="20% - Accent2 2 2 8" xfId="10044" xr:uid="{00000000-0005-0000-0000-0000A3090000}"/>
    <cellStyle name="20% - Accent2 2 2 9" xfId="17999" xr:uid="{00000000-0005-0000-0000-0000A4090000}"/>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3" xfId="24164" xr:uid="{00000000-0005-0000-0000-0000AB090000}"/>
    <cellStyle name="20% - Accent2 2 3 2 2 3" xfId="12680" xr:uid="{00000000-0005-0000-0000-0000AC090000}"/>
    <cellStyle name="20% - Accent2 2 3 2 2 4" xfId="20635" xr:uid="{00000000-0005-0000-0000-0000AD090000}"/>
    <cellStyle name="20% - Accent2 2 3 2 3" xfId="6488" xr:uid="{00000000-0005-0000-0000-0000AE090000}"/>
    <cellStyle name="20% - Accent2 2 3 2 3 2" xfId="14460" xr:uid="{00000000-0005-0000-0000-0000AF090000}"/>
    <cellStyle name="20% - Accent2 2 3 2 3 3" xfId="22407" xr:uid="{00000000-0005-0000-0000-0000B0090000}"/>
    <cellStyle name="20% - Accent2 2 3 2 4" xfId="10924" xr:uid="{00000000-0005-0000-0000-0000B1090000}"/>
    <cellStyle name="20% - Accent2 2 3 2 5" xfId="18879" xr:uid="{00000000-0005-0000-0000-0000B2090000}"/>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3" xfId="23286" xr:uid="{00000000-0005-0000-0000-0000B7090000}"/>
    <cellStyle name="20% - Accent2 2 3 3 3" xfId="11802" xr:uid="{00000000-0005-0000-0000-0000B8090000}"/>
    <cellStyle name="20% - Accent2 2 3 3 4" xfId="19757" xr:uid="{00000000-0005-0000-0000-0000B9090000}"/>
    <cellStyle name="20% - Accent2 2 3 4" xfId="5597" xr:uid="{00000000-0005-0000-0000-0000BA090000}"/>
    <cellStyle name="20% - Accent2 2 3 4 2" xfId="13581" xr:uid="{00000000-0005-0000-0000-0000BB090000}"/>
    <cellStyle name="20% - Accent2 2 3 4 3" xfId="21529" xr:uid="{00000000-0005-0000-0000-0000BC090000}"/>
    <cellStyle name="20% - Accent2 2 3 5" xfId="9150" xr:uid="{00000000-0005-0000-0000-0000BD090000}"/>
    <cellStyle name="20% - Accent2 2 3 5 2" xfId="17108" xr:uid="{00000000-0005-0000-0000-0000BE090000}"/>
    <cellStyle name="20% - Accent2 2 3 5 3" xfId="25052" xr:uid="{00000000-0005-0000-0000-0000BF090000}"/>
    <cellStyle name="20% - Accent2 2 3 6" xfId="10046" xr:uid="{00000000-0005-0000-0000-0000C0090000}"/>
    <cellStyle name="20% - Accent2 2 3 7" xfId="18001" xr:uid="{00000000-0005-0000-0000-0000C1090000}"/>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3" xfId="24835" xr:uid="{00000000-0005-0000-0000-0000C8090000}"/>
    <cellStyle name="20% - Accent2 2 4 2 2 3" xfId="13351" xr:uid="{00000000-0005-0000-0000-0000C9090000}"/>
    <cellStyle name="20% - Accent2 2 4 2 2 4" xfId="21306" xr:uid="{00000000-0005-0000-0000-0000CA090000}"/>
    <cellStyle name="20% - Accent2 2 4 2 3" xfId="7159" xr:uid="{00000000-0005-0000-0000-0000CB090000}"/>
    <cellStyle name="20% - Accent2 2 4 2 3 2" xfId="15131" xr:uid="{00000000-0005-0000-0000-0000CC090000}"/>
    <cellStyle name="20% - Accent2 2 4 2 3 3" xfId="23078" xr:uid="{00000000-0005-0000-0000-0000CD090000}"/>
    <cellStyle name="20% - Accent2 2 4 2 4" xfId="11595" xr:uid="{00000000-0005-0000-0000-0000CE090000}"/>
    <cellStyle name="20% - Accent2 2 4 2 5" xfId="19550" xr:uid="{00000000-0005-0000-0000-0000CF090000}"/>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3" xfId="23957" xr:uid="{00000000-0005-0000-0000-0000D4090000}"/>
    <cellStyle name="20% - Accent2 2 4 3 3" xfId="12473" xr:uid="{00000000-0005-0000-0000-0000D5090000}"/>
    <cellStyle name="20% - Accent2 2 4 3 4" xfId="20428" xr:uid="{00000000-0005-0000-0000-0000D6090000}"/>
    <cellStyle name="20% - Accent2 2 4 4" xfId="6278" xr:uid="{00000000-0005-0000-0000-0000D7090000}"/>
    <cellStyle name="20% - Accent2 2 4 4 2" xfId="14253" xr:uid="{00000000-0005-0000-0000-0000D8090000}"/>
    <cellStyle name="20% - Accent2 2 4 4 3" xfId="22200" xr:uid="{00000000-0005-0000-0000-0000D9090000}"/>
    <cellStyle name="20% - Accent2 2 4 5" xfId="9821" xr:uid="{00000000-0005-0000-0000-0000DA090000}"/>
    <cellStyle name="20% - Accent2 2 4 5 2" xfId="17779" xr:uid="{00000000-0005-0000-0000-0000DB090000}"/>
    <cellStyle name="20% - Accent2 2 4 5 3" xfId="25723" xr:uid="{00000000-0005-0000-0000-0000DC090000}"/>
    <cellStyle name="20% - Accent2 2 4 6" xfId="10717" xr:uid="{00000000-0005-0000-0000-0000DD090000}"/>
    <cellStyle name="20% - Accent2 2 4 7" xfId="18672" xr:uid="{00000000-0005-0000-0000-0000DE090000}"/>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3" xfId="24161" xr:uid="{00000000-0005-0000-0000-0000E4090000}"/>
    <cellStyle name="20% - Accent2 2 5 2 3" xfId="12677" xr:uid="{00000000-0005-0000-0000-0000E5090000}"/>
    <cellStyle name="20% - Accent2 2 5 2 4" xfId="20632" xr:uid="{00000000-0005-0000-0000-0000E6090000}"/>
    <cellStyle name="20% - Accent2 2 5 3" xfId="6485" xr:uid="{00000000-0005-0000-0000-0000E7090000}"/>
    <cellStyle name="20% - Accent2 2 5 3 2" xfId="14457" xr:uid="{00000000-0005-0000-0000-0000E8090000}"/>
    <cellStyle name="20% - Accent2 2 5 3 3" xfId="22404" xr:uid="{00000000-0005-0000-0000-0000E9090000}"/>
    <cellStyle name="20% - Accent2 2 5 4" xfId="10921" xr:uid="{00000000-0005-0000-0000-0000EA090000}"/>
    <cellStyle name="20% - Accent2 2 5 5" xfId="18876" xr:uid="{00000000-0005-0000-0000-0000EB090000}"/>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3" xfId="23283" xr:uid="{00000000-0005-0000-0000-0000F0090000}"/>
    <cellStyle name="20% - Accent2 2 6 3" xfId="11799" xr:uid="{00000000-0005-0000-0000-0000F1090000}"/>
    <cellStyle name="20% - Accent2 2 6 4" xfId="19754" xr:uid="{00000000-0005-0000-0000-0000F2090000}"/>
    <cellStyle name="20% - Accent2 2 7" xfId="5594" xr:uid="{00000000-0005-0000-0000-0000F3090000}"/>
    <cellStyle name="20% - Accent2 2 7 2" xfId="13578" xr:uid="{00000000-0005-0000-0000-0000F4090000}"/>
    <cellStyle name="20% - Accent2 2 7 3" xfId="21526" xr:uid="{00000000-0005-0000-0000-0000F5090000}"/>
    <cellStyle name="20% - Accent2 2 8" xfId="9147" xr:uid="{00000000-0005-0000-0000-0000F6090000}"/>
    <cellStyle name="20% - Accent2 2 8 2" xfId="17105" xr:uid="{00000000-0005-0000-0000-0000F7090000}"/>
    <cellStyle name="20% - Accent2 2 8 3" xfId="25049" xr:uid="{00000000-0005-0000-0000-0000F8090000}"/>
    <cellStyle name="20% - Accent2 2 9" xfId="10043" xr:uid="{00000000-0005-0000-0000-0000F9090000}"/>
    <cellStyle name="20% - Accent2 2_Exh G" xfId="2105" xr:uid="{00000000-0005-0000-0000-0000FA090000}"/>
    <cellStyle name="20% - Accent2 3" xfId="99" xr:uid="{00000000-0005-0000-0000-0000FB090000}"/>
    <cellStyle name="20% - Accent2 3 10" xfId="18002" xr:uid="{00000000-0005-0000-0000-0000FC090000}"/>
    <cellStyle name="20% - Accent2 3 2" xfId="100" xr:uid="{00000000-0005-0000-0000-0000FD090000}"/>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3" xfId="24167" xr:uid="{00000000-0005-0000-0000-0000030A0000}"/>
    <cellStyle name="20% - Accent2 3 2 2 2 2 3" xfId="12683" xr:uid="{00000000-0005-0000-0000-0000040A0000}"/>
    <cellStyle name="20% - Accent2 3 2 2 2 2 4" xfId="20638" xr:uid="{00000000-0005-0000-0000-0000050A0000}"/>
    <cellStyle name="20% - Accent2 3 2 2 2 3" xfId="6491" xr:uid="{00000000-0005-0000-0000-0000060A0000}"/>
    <cellStyle name="20% - Accent2 3 2 2 2 3 2" xfId="14463" xr:uid="{00000000-0005-0000-0000-0000070A0000}"/>
    <cellStyle name="20% - Accent2 3 2 2 2 3 3" xfId="22410" xr:uid="{00000000-0005-0000-0000-0000080A0000}"/>
    <cellStyle name="20% - Accent2 3 2 2 2 4" xfId="10927" xr:uid="{00000000-0005-0000-0000-0000090A0000}"/>
    <cellStyle name="20% - Accent2 3 2 2 2 5" xfId="18882" xr:uid="{00000000-0005-0000-0000-00000A0A0000}"/>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3" xfId="23289" xr:uid="{00000000-0005-0000-0000-00000F0A0000}"/>
    <cellStyle name="20% - Accent2 3 2 2 3 3" xfId="11805" xr:uid="{00000000-0005-0000-0000-0000100A0000}"/>
    <cellStyle name="20% - Accent2 3 2 2 3 4" xfId="19760" xr:uid="{00000000-0005-0000-0000-0000110A0000}"/>
    <cellStyle name="20% - Accent2 3 2 2 4" xfId="5600" xr:uid="{00000000-0005-0000-0000-0000120A0000}"/>
    <cellStyle name="20% - Accent2 3 2 2 4 2" xfId="13584" xr:uid="{00000000-0005-0000-0000-0000130A0000}"/>
    <cellStyle name="20% - Accent2 3 2 2 4 3" xfId="21532" xr:uid="{00000000-0005-0000-0000-0000140A0000}"/>
    <cellStyle name="20% - Accent2 3 2 2 5" xfId="9153" xr:uid="{00000000-0005-0000-0000-0000150A0000}"/>
    <cellStyle name="20% - Accent2 3 2 2 5 2" xfId="17111" xr:uid="{00000000-0005-0000-0000-0000160A0000}"/>
    <cellStyle name="20% - Accent2 3 2 2 5 3" xfId="25055" xr:uid="{00000000-0005-0000-0000-0000170A0000}"/>
    <cellStyle name="20% - Accent2 3 2 2 6" xfId="10049" xr:uid="{00000000-0005-0000-0000-0000180A0000}"/>
    <cellStyle name="20% - Accent2 3 2 2 7" xfId="18004" xr:uid="{00000000-0005-0000-0000-0000190A0000}"/>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3" xfId="24838" xr:uid="{00000000-0005-0000-0000-0000200A0000}"/>
    <cellStyle name="20% - Accent2 3 2 3 2 2 3" xfId="13354" xr:uid="{00000000-0005-0000-0000-0000210A0000}"/>
    <cellStyle name="20% - Accent2 3 2 3 2 2 4" xfId="21309" xr:uid="{00000000-0005-0000-0000-0000220A0000}"/>
    <cellStyle name="20% - Accent2 3 2 3 2 3" xfId="7162" xr:uid="{00000000-0005-0000-0000-0000230A0000}"/>
    <cellStyle name="20% - Accent2 3 2 3 2 3 2" xfId="15134" xr:uid="{00000000-0005-0000-0000-0000240A0000}"/>
    <cellStyle name="20% - Accent2 3 2 3 2 3 3" xfId="23081" xr:uid="{00000000-0005-0000-0000-0000250A0000}"/>
    <cellStyle name="20% - Accent2 3 2 3 2 4" xfId="11598" xr:uid="{00000000-0005-0000-0000-0000260A0000}"/>
    <cellStyle name="20% - Accent2 3 2 3 2 5" xfId="19553" xr:uid="{00000000-0005-0000-0000-0000270A000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3" xfId="23960" xr:uid="{00000000-0005-0000-0000-00002C0A0000}"/>
    <cellStyle name="20% - Accent2 3 2 3 3 3" xfId="12476" xr:uid="{00000000-0005-0000-0000-00002D0A0000}"/>
    <cellStyle name="20% - Accent2 3 2 3 3 4" xfId="20431" xr:uid="{00000000-0005-0000-0000-00002E0A0000}"/>
    <cellStyle name="20% - Accent2 3 2 3 4" xfId="6281" xr:uid="{00000000-0005-0000-0000-00002F0A0000}"/>
    <cellStyle name="20% - Accent2 3 2 3 4 2" xfId="14256" xr:uid="{00000000-0005-0000-0000-0000300A0000}"/>
    <cellStyle name="20% - Accent2 3 2 3 4 3" xfId="22203" xr:uid="{00000000-0005-0000-0000-0000310A0000}"/>
    <cellStyle name="20% - Accent2 3 2 3 5" xfId="9824" xr:uid="{00000000-0005-0000-0000-0000320A0000}"/>
    <cellStyle name="20% - Accent2 3 2 3 5 2" xfId="17782" xr:uid="{00000000-0005-0000-0000-0000330A0000}"/>
    <cellStyle name="20% - Accent2 3 2 3 5 3" xfId="25726" xr:uid="{00000000-0005-0000-0000-0000340A0000}"/>
    <cellStyle name="20% - Accent2 3 2 3 6" xfId="10720" xr:uid="{00000000-0005-0000-0000-0000350A0000}"/>
    <cellStyle name="20% - Accent2 3 2 3 7" xfId="18675" xr:uid="{00000000-0005-0000-0000-0000360A0000}"/>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3" xfId="24166" xr:uid="{00000000-0005-0000-0000-00003C0A0000}"/>
    <cellStyle name="20% - Accent2 3 2 4 2 3" xfId="12682" xr:uid="{00000000-0005-0000-0000-00003D0A0000}"/>
    <cellStyle name="20% - Accent2 3 2 4 2 4" xfId="20637" xr:uid="{00000000-0005-0000-0000-00003E0A0000}"/>
    <cellStyle name="20% - Accent2 3 2 4 3" xfId="6490" xr:uid="{00000000-0005-0000-0000-00003F0A0000}"/>
    <cellStyle name="20% - Accent2 3 2 4 3 2" xfId="14462" xr:uid="{00000000-0005-0000-0000-0000400A0000}"/>
    <cellStyle name="20% - Accent2 3 2 4 3 3" xfId="22409" xr:uid="{00000000-0005-0000-0000-0000410A0000}"/>
    <cellStyle name="20% - Accent2 3 2 4 4" xfId="10926" xr:uid="{00000000-0005-0000-0000-0000420A0000}"/>
    <cellStyle name="20% - Accent2 3 2 4 5" xfId="18881" xr:uid="{00000000-0005-0000-0000-0000430A0000}"/>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3" xfId="23288" xr:uid="{00000000-0005-0000-0000-0000480A0000}"/>
    <cellStyle name="20% - Accent2 3 2 5 3" xfId="11804" xr:uid="{00000000-0005-0000-0000-0000490A0000}"/>
    <cellStyle name="20% - Accent2 3 2 5 4" xfId="19759" xr:uid="{00000000-0005-0000-0000-00004A0A0000}"/>
    <cellStyle name="20% - Accent2 3 2 6" xfId="5599" xr:uid="{00000000-0005-0000-0000-00004B0A0000}"/>
    <cellStyle name="20% - Accent2 3 2 6 2" xfId="13583" xr:uid="{00000000-0005-0000-0000-00004C0A0000}"/>
    <cellStyle name="20% - Accent2 3 2 6 3" xfId="21531" xr:uid="{00000000-0005-0000-0000-00004D0A0000}"/>
    <cellStyle name="20% - Accent2 3 2 7" xfId="9152" xr:uid="{00000000-0005-0000-0000-00004E0A0000}"/>
    <cellStyle name="20% - Accent2 3 2 7 2" xfId="17110" xr:uid="{00000000-0005-0000-0000-00004F0A0000}"/>
    <cellStyle name="20% - Accent2 3 2 7 3" xfId="25054" xr:uid="{00000000-0005-0000-0000-0000500A0000}"/>
    <cellStyle name="20% - Accent2 3 2 8" xfId="10048" xr:uid="{00000000-0005-0000-0000-0000510A0000}"/>
    <cellStyle name="20% - Accent2 3 2 9" xfId="18003" xr:uid="{00000000-0005-0000-0000-0000520A000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3" xfId="24168" xr:uid="{00000000-0005-0000-0000-0000590A0000}"/>
    <cellStyle name="20% - Accent2 3 3 2 2 3" xfId="12684" xr:uid="{00000000-0005-0000-0000-00005A0A0000}"/>
    <cellStyle name="20% - Accent2 3 3 2 2 4" xfId="20639" xr:uid="{00000000-0005-0000-0000-00005B0A0000}"/>
    <cellStyle name="20% - Accent2 3 3 2 3" xfId="6492" xr:uid="{00000000-0005-0000-0000-00005C0A0000}"/>
    <cellStyle name="20% - Accent2 3 3 2 3 2" xfId="14464" xr:uid="{00000000-0005-0000-0000-00005D0A0000}"/>
    <cellStyle name="20% - Accent2 3 3 2 3 3" xfId="22411" xr:uid="{00000000-0005-0000-0000-00005E0A0000}"/>
    <cellStyle name="20% - Accent2 3 3 2 4" xfId="10928" xr:uid="{00000000-0005-0000-0000-00005F0A0000}"/>
    <cellStyle name="20% - Accent2 3 3 2 5" xfId="18883" xr:uid="{00000000-0005-0000-0000-0000600A0000}"/>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3" xfId="23290" xr:uid="{00000000-0005-0000-0000-0000650A0000}"/>
    <cellStyle name="20% - Accent2 3 3 3 3" xfId="11806" xr:uid="{00000000-0005-0000-0000-0000660A0000}"/>
    <cellStyle name="20% - Accent2 3 3 3 4" xfId="19761" xr:uid="{00000000-0005-0000-0000-0000670A0000}"/>
    <cellStyle name="20% - Accent2 3 3 4" xfId="5601" xr:uid="{00000000-0005-0000-0000-0000680A0000}"/>
    <cellStyle name="20% - Accent2 3 3 4 2" xfId="13585" xr:uid="{00000000-0005-0000-0000-0000690A0000}"/>
    <cellStyle name="20% - Accent2 3 3 4 3" xfId="21533" xr:uid="{00000000-0005-0000-0000-00006A0A0000}"/>
    <cellStyle name="20% - Accent2 3 3 5" xfId="9154" xr:uid="{00000000-0005-0000-0000-00006B0A0000}"/>
    <cellStyle name="20% - Accent2 3 3 5 2" xfId="17112" xr:uid="{00000000-0005-0000-0000-00006C0A0000}"/>
    <cellStyle name="20% - Accent2 3 3 5 3" xfId="25056" xr:uid="{00000000-0005-0000-0000-00006D0A0000}"/>
    <cellStyle name="20% - Accent2 3 3 6" xfId="10050" xr:uid="{00000000-0005-0000-0000-00006E0A0000}"/>
    <cellStyle name="20% - Accent2 3 3 7" xfId="18005" xr:uid="{00000000-0005-0000-0000-00006F0A0000}"/>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3" xfId="24837" xr:uid="{00000000-0005-0000-0000-0000760A0000}"/>
    <cellStyle name="20% - Accent2 3 4 2 2 3" xfId="13353" xr:uid="{00000000-0005-0000-0000-0000770A0000}"/>
    <cellStyle name="20% - Accent2 3 4 2 2 4" xfId="21308" xr:uid="{00000000-0005-0000-0000-0000780A0000}"/>
    <cellStyle name="20% - Accent2 3 4 2 3" xfId="7161" xr:uid="{00000000-0005-0000-0000-0000790A0000}"/>
    <cellStyle name="20% - Accent2 3 4 2 3 2" xfId="15133" xr:uid="{00000000-0005-0000-0000-00007A0A0000}"/>
    <cellStyle name="20% - Accent2 3 4 2 3 3" xfId="23080" xr:uid="{00000000-0005-0000-0000-00007B0A0000}"/>
    <cellStyle name="20% - Accent2 3 4 2 4" xfId="11597" xr:uid="{00000000-0005-0000-0000-00007C0A0000}"/>
    <cellStyle name="20% - Accent2 3 4 2 5" xfId="19552" xr:uid="{00000000-0005-0000-0000-00007D0A0000}"/>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3" xfId="23959" xr:uid="{00000000-0005-0000-0000-0000820A0000}"/>
    <cellStyle name="20% - Accent2 3 4 3 3" xfId="12475" xr:uid="{00000000-0005-0000-0000-0000830A0000}"/>
    <cellStyle name="20% - Accent2 3 4 3 4" xfId="20430" xr:uid="{00000000-0005-0000-0000-0000840A0000}"/>
    <cellStyle name="20% - Accent2 3 4 4" xfId="6280" xr:uid="{00000000-0005-0000-0000-0000850A0000}"/>
    <cellStyle name="20% - Accent2 3 4 4 2" xfId="14255" xr:uid="{00000000-0005-0000-0000-0000860A0000}"/>
    <cellStyle name="20% - Accent2 3 4 4 3" xfId="22202" xr:uid="{00000000-0005-0000-0000-0000870A0000}"/>
    <cellStyle name="20% - Accent2 3 4 5" xfId="9823" xr:uid="{00000000-0005-0000-0000-0000880A0000}"/>
    <cellStyle name="20% - Accent2 3 4 5 2" xfId="17781" xr:uid="{00000000-0005-0000-0000-0000890A0000}"/>
    <cellStyle name="20% - Accent2 3 4 5 3" xfId="25725" xr:uid="{00000000-0005-0000-0000-00008A0A0000}"/>
    <cellStyle name="20% - Accent2 3 4 6" xfId="10719" xr:uid="{00000000-0005-0000-0000-00008B0A0000}"/>
    <cellStyle name="20% - Accent2 3 4 7" xfId="18674" xr:uid="{00000000-0005-0000-0000-00008C0A0000}"/>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3" xfId="24165" xr:uid="{00000000-0005-0000-0000-0000920A0000}"/>
    <cellStyle name="20% - Accent2 3 5 2 3" xfId="12681" xr:uid="{00000000-0005-0000-0000-0000930A0000}"/>
    <cellStyle name="20% - Accent2 3 5 2 4" xfId="20636" xr:uid="{00000000-0005-0000-0000-0000940A0000}"/>
    <cellStyle name="20% - Accent2 3 5 3" xfId="6489" xr:uid="{00000000-0005-0000-0000-0000950A0000}"/>
    <cellStyle name="20% - Accent2 3 5 3 2" xfId="14461" xr:uid="{00000000-0005-0000-0000-0000960A0000}"/>
    <cellStyle name="20% - Accent2 3 5 3 3" xfId="22408" xr:uid="{00000000-0005-0000-0000-0000970A0000}"/>
    <cellStyle name="20% - Accent2 3 5 4" xfId="10925" xr:uid="{00000000-0005-0000-0000-0000980A0000}"/>
    <cellStyle name="20% - Accent2 3 5 5" xfId="18880" xr:uid="{00000000-0005-0000-0000-0000990A0000}"/>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3" xfId="23287" xr:uid="{00000000-0005-0000-0000-00009E0A0000}"/>
    <cellStyle name="20% - Accent2 3 6 3" xfId="11803" xr:uid="{00000000-0005-0000-0000-00009F0A0000}"/>
    <cellStyle name="20% - Accent2 3 6 4" xfId="19758" xr:uid="{00000000-0005-0000-0000-0000A00A0000}"/>
    <cellStyle name="20% - Accent2 3 7" xfId="5598" xr:uid="{00000000-0005-0000-0000-0000A10A0000}"/>
    <cellStyle name="20% - Accent2 3 7 2" xfId="13582" xr:uid="{00000000-0005-0000-0000-0000A20A0000}"/>
    <cellStyle name="20% - Accent2 3 7 3" xfId="21530" xr:uid="{00000000-0005-0000-0000-0000A30A0000}"/>
    <cellStyle name="20% - Accent2 3 8" xfId="9151" xr:uid="{00000000-0005-0000-0000-0000A40A0000}"/>
    <cellStyle name="20% - Accent2 3 8 2" xfId="17109" xr:uid="{00000000-0005-0000-0000-0000A50A0000}"/>
    <cellStyle name="20% - Accent2 3 8 3" xfId="25053" xr:uid="{00000000-0005-0000-0000-0000A60A0000}"/>
    <cellStyle name="20% - Accent2 3 9" xfId="10047" xr:uid="{00000000-0005-0000-0000-0000A70A0000}"/>
    <cellStyle name="20% - Accent2 3_Exh G" xfId="2117" xr:uid="{00000000-0005-0000-0000-0000A80A0000}"/>
    <cellStyle name="20% - Accent2 4" xfId="103" xr:uid="{00000000-0005-0000-0000-0000A90A0000}"/>
    <cellStyle name="20% - Accent2 4 10" xfId="18006" xr:uid="{00000000-0005-0000-0000-0000AA0A0000}"/>
    <cellStyle name="20% - Accent2 4 2" xfId="104" xr:uid="{00000000-0005-0000-0000-0000AB0A0000}"/>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3" xfId="24171" xr:uid="{00000000-0005-0000-0000-0000B10A0000}"/>
    <cellStyle name="20% - Accent2 4 2 2 2 2 3" xfId="12687" xr:uid="{00000000-0005-0000-0000-0000B20A0000}"/>
    <cellStyle name="20% - Accent2 4 2 2 2 2 4" xfId="20642" xr:uid="{00000000-0005-0000-0000-0000B30A0000}"/>
    <cellStyle name="20% - Accent2 4 2 2 2 3" xfId="6495" xr:uid="{00000000-0005-0000-0000-0000B40A0000}"/>
    <cellStyle name="20% - Accent2 4 2 2 2 3 2" xfId="14467" xr:uid="{00000000-0005-0000-0000-0000B50A0000}"/>
    <cellStyle name="20% - Accent2 4 2 2 2 3 3" xfId="22414" xr:uid="{00000000-0005-0000-0000-0000B60A0000}"/>
    <cellStyle name="20% - Accent2 4 2 2 2 4" xfId="10931" xr:uid="{00000000-0005-0000-0000-0000B70A0000}"/>
    <cellStyle name="20% - Accent2 4 2 2 2 5" xfId="18886" xr:uid="{00000000-0005-0000-0000-0000B80A0000}"/>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3" xfId="23293" xr:uid="{00000000-0005-0000-0000-0000BD0A0000}"/>
    <cellStyle name="20% - Accent2 4 2 2 3 3" xfId="11809" xr:uid="{00000000-0005-0000-0000-0000BE0A0000}"/>
    <cellStyle name="20% - Accent2 4 2 2 3 4" xfId="19764" xr:uid="{00000000-0005-0000-0000-0000BF0A0000}"/>
    <cellStyle name="20% - Accent2 4 2 2 4" xfId="5604" xr:uid="{00000000-0005-0000-0000-0000C00A0000}"/>
    <cellStyle name="20% - Accent2 4 2 2 4 2" xfId="13588" xr:uid="{00000000-0005-0000-0000-0000C10A0000}"/>
    <cellStyle name="20% - Accent2 4 2 2 4 3" xfId="21536" xr:uid="{00000000-0005-0000-0000-0000C20A0000}"/>
    <cellStyle name="20% - Accent2 4 2 2 5" xfId="9157" xr:uid="{00000000-0005-0000-0000-0000C30A0000}"/>
    <cellStyle name="20% - Accent2 4 2 2 5 2" xfId="17115" xr:uid="{00000000-0005-0000-0000-0000C40A0000}"/>
    <cellStyle name="20% - Accent2 4 2 2 5 3" xfId="25059" xr:uid="{00000000-0005-0000-0000-0000C50A0000}"/>
    <cellStyle name="20% - Accent2 4 2 2 6" xfId="10053" xr:uid="{00000000-0005-0000-0000-0000C60A0000}"/>
    <cellStyle name="20% - Accent2 4 2 2 7" xfId="18008" xr:uid="{00000000-0005-0000-0000-0000C70A0000}"/>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3" xfId="24840" xr:uid="{00000000-0005-0000-0000-0000CE0A0000}"/>
    <cellStyle name="20% - Accent2 4 2 3 2 2 3" xfId="13356" xr:uid="{00000000-0005-0000-0000-0000CF0A0000}"/>
    <cellStyle name="20% - Accent2 4 2 3 2 2 4" xfId="21311" xr:uid="{00000000-0005-0000-0000-0000D00A0000}"/>
    <cellStyle name="20% - Accent2 4 2 3 2 3" xfId="7164" xr:uid="{00000000-0005-0000-0000-0000D10A0000}"/>
    <cellStyle name="20% - Accent2 4 2 3 2 3 2" xfId="15136" xr:uid="{00000000-0005-0000-0000-0000D20A0000}"/>
    <cellStyle name="20% - Accent2 4 2 3 2 3 3" xfId="23083" xr:uid="{00000000-0005-0000-0000-0000D30A0000}"/>
    <cellStyle name="20% - Accent2 4 2 3 2 4" xfId="11600" xr:uid="{00000000-0005-0000-0000-0000D40A0000}"/>
    <cellStyle name="20% - Accent2 4 2 3 2 5" xfId="19555" xr:uid="{00000000-0005-0000-0000-0000D50A0000}"/>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3" xfId="23962" xr:uid="{00000000-0005-0000-0000-0000DA0A0000}"/>
    <cellStyle name="20% - Accent2 4 2 3 3 3" xfId="12478" xr:uid="{00000000-0005-0000-0000-0000DB0A0000}"/>
    <cellStyle name="20% - Accent2 4 2 3 3 4" xfId="20433" xr:uid="{00000000-0005-0000-0000-0000DC0A0000}"/>
    <cellStyle name="20% - Accent2 4 2 3 4" xfId="6283" xr:uid="{00000000-0005-0000-0000-0000DD0A0000}"/>
    <cellStyle name="20% - Accent2 4 2 3 4 2" xfId="14258" xr:uid="{00000000-0005-0000-0000-0000DE0A0000}"/>
    <cellStyle name="20% - Accent2 4 2 3 4 3" xfId="22205" xr:uid="{00000000-0005-0000-0000-0000DF0A0000}"/>
    <cellStyle name="20% - Accent2 4 2 3 5" xfId="9826" xr:uid="{00000000-0005-0000-0000-0000E00A0000}"/>
    <cellStyle name="20% - Accent2 4 2 3 5 2" xfId="17784" xr:uid="{00000000-0005-0000-0000-0000E10A0000}"/>
    <cellStyle name="20% - Accent2 4 2 3 5 3" xfId="25728" xr:uid="{00000000-0005-0000-0000-0000E20A0000}"/>
    <cellStyle name="20% - Accent2 4 2 3 6" xfId="10722" xr:uid="{00000000-0005-0000-0000-0000E30A0000}"/>
    <cellStyle name="20% - Accent2 4 2 3 7" xfId="18677" xr:uid="{00000000-0005-0000-0000-0000E40A0000}"/>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3" xfId="24170" xr:uid="{00000000-0005-0000-0000-0000EA0A0000}"/>
    <cellStyle name="20% - Accent2 4 2 4 2 3" xfId="12686" xr:uid="{00000000-0005-0000-0000-0000EB0A0000}"/>
    <cellStyle name="20% - Accent2 4 2 4 2 4" xfId="20641" xr:uid="{00000000-0005-0000-0000-0000EC0A0000}"/>
    <cellStyle name="20% - Accent2 4 2 4 3" xfId="6494" xr:uid="{00000000-0005-0000-0000-0000ED0A0000}"/>
    <cellStyle name="20% - Accent2 4 2 4 3 2" xfId="14466" xr:uid="{00000000-0005-0000-0000-0000EE0A0000}"/>
    <cellStyle name="20% - Accent2 4 2 4 3 3" xfId="22413" xr:uid="{00000000-0005-0000-0000-0000EF0A0000}"/>
    <cellStyle name="20% - Accent2 4 2 4 4" xfId="10930" xr:uid="{00000000-0005-0000-0000-0000F00A0000}"/>
    <cellStyle name="20% - Accent2 4 2 4 5" xfId="18885" xr:uid="{00000000-0005-0000-0000-0000F10A0000}"/>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3" xfId="23292" xr:uid="{00000000-0005-0000-0000-0000F60A0000}"/>
    <cellStyle name="20% - Accent2 4 2 5 3" xfId="11808" xr:uid="{00000000-0005-0000-0000-0000F70A0000}"/>
    <cellStyle name="20% - Accent2 4 2 5 4" xfId="19763" xr:uid="{00000000-0005-0000-0000-0000F80A0000}"/>
    <cellStyle name="20% - Accent2 4 2 6" xfId="5603" xr:uid="{00000000-0005-0000-0000-0000F90A0000}"/>
    <cellStyle name="20% - Accent2 4 2 6 2" xfId="13587" xr:uid="{00000000-0005-0000-0000-0000FA0A0000}"/>
    <cellStyle name="20% - Accent2 4 2 6 3" xfId="21535" xr:uid="{00000000-0005-0000-0000-0000FB0A0000}"/>
    <cellStyle name="20% - Accent2 4 2 7" xfId="9156" xr:uid="{00000000-0005-0000-0000-0000FC0A0000}"/>
    <cellStyle name="20% - Accent2 4 2 7 2" xfId="17114" xr:uid="{00000000-0005-0000-0000-0000FD0A0000}"/>
    <cellStyle name="20% - Accent2 4 2 7 3" xfId="25058" xr:uid="{00000000-0005-0000-0000-0000FE0A0000}"/>
    <cellStyle name="20% - Accent2 4 2 8" xfId="10052" xr:uid="{00000000-0005-0000-0000-0000FF0A0000}"/>
    <cellStyle name="20% - Accent2 4 2 9" xfId="18007" xr:uid="{00000000-0005-0000-0000-0000000B000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3" xfId="24172" xr:uid="{00000000-0005-0000-0000-0000070B0000}"/>
    <cellStyle name="20% - Accent2 4 3 2 2 3" xfId="12688" xr:uid="{00000000-0005-0000-0000-0000080B0000}"/>
    <cellStyle name="20% - Accent2 4 3 2 2 4" xfId="20643" xr:uid="{00000000-0005-0000-0000-0000090B0000}"/>
    <cellStyle name="20% - Accent2 4 3 2 3" xfId="6496" xr:uid="{00000000-0005-0000-0000-00000A0B0000}"/>
    <cellStyle name="20% - Accent2 4 3 2 3 2" xfId="14468" xr:uid="{00000000-0005-0000-0000-00000B0B0000}"/>
    <cellStyle name="20% - Accent2 4 3 2 3 3" xfId="22415" xr:uid="{00000000-0005-0000-0000-00000C0B0000}"/>
    <cellStyle name="20% - Accent2 4 3 2 4" xfId="10932" xr:uid="{00000000-0005-0000-0000-00000D0B0000}"/>
    <cellStyle name="20% - Accent2 4 3 2 5" xfId="18887" xr:uid="{00000000-0005-0000-0000-00000E0B0000}"/>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3" xfId="23294" xr:uid="{00000000-0005-0000-0000-0000130B0000}"/>
    <cellStyle name="20% - Accent2 4 3 3 3" xfId="11810" xr:uid="{00000000-0005-0000-0000-0000140B0000}"/>
    <cellStyle name="20% - Accent2 4 3 3 4" xfId="19765" xr:uid="{00000000-0005-0000-0000-0000150B0000}"/>
    <cellStyle name="20% - Accent2 4 3 4" xfId="5605" xr:uid="{00000000-0005-0000-0000-0000160B0000}"/>
    <cellStyle name="20% - Accent2 4 3 4 2" xfId="13589" xr:uid="{00000000-0005-0000-0000-0000170B0000}"/>
    <cellStyle name="20% - Accent2 4 3 4 3" xfId="21537" xr:uid="{00000000-0005-0000-0000-0000180B0000}"/>
    <cellStyle name="20% - Accent2 4 3 5" xfId="9158" xr:uid="{00000000-0005-0000-0000-0000190B0000}"/>
    <cellStyle name="20% - Accent2 4 3 5 2" xfId="17116" xr:uid="{00000000-0005-0000-0000-00001A0B0000}"/>
    <cellStyle name="20% - Accent2 4 3 5 3" xfId="25060" xr:uid="{00000000-0005-0000-0000-00001B0B0000}"/>
    <cellStyle name="20% - Accent2 4 3 6" xfId="10054" xr:uid="{00000000-0005-0000-0000-00001C0B0000}"/>
    <cellStyle name="20% - Accent2 4 3 7" xfId="18009" xr:uid="{00000000-0005-0000-0000-00001D0B0000}"/>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3" xfId="24839" xr:uid="{00000000-0005-0000-0000-0000240B0000}"/>
    <cellStyle name="20% - Accent2 4 4 2 2 3" xfId="13355" xr:uid="{00000000-0005-0000-0000-0000250B0000}"/>
    <cellStyle name="20% - Accent2 4 4 2 2 4" xfId="21310" xr:uid="{00000000-0005-0000-0000-0000260B0000}"/>
    <cellStyle name="20% - Accent2 4 4 2 3" xfId="7163" xr:uid="{00000000-0005-0000-0000-0000270B0000}"/>
    <cellStyle name="20% - Accent2 4 4 2 3 2" xfId="15135" xr:uid="{00000000-0005-0000-0000-0000280B0000}"/>
    <cellStyle name="20% - Accent2 4 4 2 3 3" xfId="23082" xr:uid="{00000000-0005-0000-0000-0000290B0000}"/>
    <cellStyle name="20% - Accent2 4 4 2 4" xfId="11599" xr:uid="{00000000-0005-0000-0000-00002A0B0000}"/>
    <cellStyle name="20% - Accent2 4 4 2 5" xfId="19554" xr:uid="{00000000-0005-0000-0000-00002B0B0000}"/>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3" xfId="23961" xr:uid="{00000000-0005-0000-0000-0000300B0000}"/>
    <cellStyle name="20% - Accent2 4 4 3 3" xfId="12477" xr:uid="{00000000-0005-0000-0000-0000310B0000}"/>
    <cellStyle name="20% - Accent2 4 4 3 4" xfId="20432" xr:uid="{00000000-0005-0000-0000-0000320B0000}"/>
    <cellStyle name="20% - Accent2 4 4 4" xfId="6282" xr:uid="{00000000-0005-0000-0000-0000330B0000}"/>
    <cellStyle name="20% - Accent2 4 4 4 2" xfId="14257" xr:uid="{00000000-0005-0000-0000-0000340B0000}"/>
    <cellStyle name="20% - Accent2 4 4 4 3" xfId="22204" xr:uid="{00000000-0005-0000-0000-0000350B0000}"/>
    <cellStyle name="20% - Accent2 4 4 5" xfId="9825" xr:uid="{00000000-0005-0000-0000-0000360B0000}"/>
    <cellStyle name="20% - Accent2 4 4 5 2" xfId="17783" xr:uid="{00000000-0005-0000-0000-0000370B0000}"/>
    <cellStyle name="20% - Accent2 4 4 5 3" xfId="25727" xr:uid="{00000000-0005-0000-0000-0000380B0000}"/>
    <cellStyle name="20% - Accent2 4 4 6" xfId="10721" xr:uid="{00000000-0005-0000-0000-0000390B0000}"/>
    <cellStyle name="20% - Accent2 4 4 7" xfId="18676" xr:uid="{00000000-0005-0000-0000-00003A0B0000}"/>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3" xfId="24169" xr:uid="{00000000-0005-0000-0000-0000400B0000}"/>
    <cellStyle name="20% - Accent2 4 5 2 3" xfId="12685" xr:uid="{00000000-0005-0000-0000-0000410B0000}"/>
    <cellStyle name="20% - Accent2 4 5 2 4" xfId="20640" xr:uid="{00000000-0005-0000-0000-0000420B0000}"/>
    <cellStyle name="20% - Accent2 4 5 3" xfId="6493" xr:uid="{00000000-0005-0000-0000-0000430B0000}"/>
    <cellStyle name="20% - Accent2 4 5 3 2" xfId="14465" xr:uid="{00000000-0005-0000-0000-0000440B0000}"/>
    <cellStyle name="20% - Accent2 4 5 3 3" xfId="22412" xr:uid="{00000000-0005-0000-0000-0000450B0000}"/>
    <cellStyle name="20% - Accent2 4 5 4" xfId="10929" xr:uid="{00000000-0005-0000-0000-0000460B0000}"/>
    <cellStyle name="20% - Accent2 4 5 5" xfId="18884" xr:uid="{00000000-0005-0000-0000-0000470B000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3" xfId="23291" xr:uid="{00000000-0005-0000-0000-00004C0B0000}"/>
    <cellStyle name="20% - Accent2 4 6 3" xfId="11807" xr:uid="{00000000-0005-0000-0000-00004D0B0000}"/>
    <cellStyle name="20% - Accent2 4 6 4" xfId="19762" xr:uid="{00000000-0005-0000-0000-00004E0B0000}"/>
    <cellStyle name="20% - Accent2 4 7" xfId="5602" xr:uid="{00000000-0005-0000-0000-00004F0B0000}"/>
    <cellStyle name="20% - Accent2 4 7 2" xfId="13586" xr:uid="{00000000-0005-0000-0000-0000500B0000}"/>
    <cellStyle name="20% - Accent2 4 7 3" xfId="21534" xr:uid="{00000000-0005-0000-0000-0000510B0000}"/>
    <cellStyle name="20% - Accent2 4 8" xfId="9155" xr:uid="{00000000-0005-0000-0000-0000520B0000}"/>
    <cellStyle name="20% - Accent2 4 8 2" xfId="17113" xr:uid="{00000000-0005-0000-0000-0000530B0000}"/>
    <cellStyle name="20% - Accent2 4 8 3" xfId="25057" xr:uid="{00000000-0005-0000-0000-0000540B0000}"/>
    <cellStyle name="20% - Accent2 4 9" xfId="10051" xr:uid="{00000000-0005-0000-0000-0000550B0000}"/>
    <cellStyle name="20% - Accent2 4_Exh G" xfId="2129" xr:uid="{00000000-0005-0000-0000-0000560B0000}"/>
    <cellStyle name="20% - Accent2 5" xfId="107" xr:uid="{00000000-0005-0000-0000-0000570B0000}"/>
    <cellStyle name="20% - Accent2 5 10" xfId="18010" xr:uid="{00000000-0005-0000-0000-0000580B0000}"/>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3" xfId="24175" xr:uid="{00000000-0005-0000-0000-00005F0B0000}"/>
    <cellStyle name="20% - Accent2 5 2 2 2 2 3" xfId="12691" xr:uid="{00000000-0005-0000-0000-0000600B0000}"/>
    <cellStyle name="20% - Accent2 5 2 2 2 2 4" xfId="20646" xr:uid="{00000000-0005-0000-0000-0000610B0000}"/>
    <cellStyle name="20% - Accent2 5 2 2 2 3" xfId="6499" xr:uid="{00000000-0005-0000-0000-0000620B0000}"/>
    <cellStyle name="20% - Accent2 5 2 2 2 3 2" xfId="14471" xr:uid="{00000000-0005-0000-0000-0000630B0000}"/>
    <cellStyle name="20% - Accent2 5 2 2 2 3 3" xfId="22418" xr:uid="{00000000-0005-0000-0000-0000640B0000}"/>
    <cellStyle name="20% - Accent2 5 2 2 2 4" xfId="10935" xr:uid="{00000000-0005-0000-0000-0000650B0000}"/>
    <cellStyle name="20% - Accent2 5 2 2 2 5" xfId="18890" xr:uid="{00000000-0005-0000-0000-0000660B0000}"/>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3" xfId="23297" xr:uid="{00000000-0005-0000-0000-00006B0B0000}"/>
    <cellStyle name="20% - Accent2 5 2 2 3 3" xfId="11813" xr:uid="{00000000-0005-0000-0000-00006C0B0000}"/>
    <cellStyle name="20% - Accent2 5 2 2 3 4" xfId="19768" xr:uid="{00000000-0005-0000-0000-00006D0B0000}"/>
    <cellStyle name="20% - Accent2 5 2 2 4" xfId="5608" xr:uid="{00000000-0005-0000-0000-00006E0B0000}"/>
    <cellStyle name="20% - Accent2 5 2 2 4 2" xfId="13592" xr:uid="{00000000-0005-0000-0000-00006F0B0000}"/>
    <cellStyle name="20% - Accent2 5 2 2 4 3" xfId="21540" xr:uid="{00000000-0005-0000-0000-0000700B0000}"/>
    <cellStyle name="20% - Accent2 5 2 2 5" xfId="9161" xr:uid="{00000000-0005-0000-0000-0000710B0000}"/>
    <cellStyle name="20% - Accent2 5 2 2 5 2" xfId="17119" xr:uid="{00000000-0005-0000-0000-0000720B0000}"/>
    <cellStyle name="20% - Accent2 5 2 2 5 3" xfId="25063" xr:uid="{00000000-0005-0000-0000-0000730B0000}"/>
    <cellStyle name="20% - Accent2 5 2 2 6" xfId="10057" xr:uid="{00000000-0005-0000-0000-0000740B0000}"/>
    <cellStyle name="20% - Accent2 5 2 2 7" xfId="18012" xr:uid="{00000000-0005-0000-0000-0000750B0000}"/>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3" xfId="24174" xr:uid="{00000000-0005-0000-0000-00007B0B0000}"/>
    <cellStyle name="20% - Accent2 5 2 3 2 3" xfId="12690" xr:uid="{00000000-0005-0000-0000-00007C0B0000}"/>
    <cellStyle name="20% - Accent2 5 2 3 2 4" xfId="20645" xr:uid="{00000000-0005-0000-0000-00007D0B0000}"/>
    <cellStyle name="20% - Accent2 5 2 3 3" xfId="6498" xr:uid="{00000000-0005-0000-0000-00007E0B0000}"/>
    <cellStyle name="20% - Accent2 5 2 3 3 2" xfId="14470" xr:uid="{00000000-0005-0000-0000-00007F0B0000}"/>
    <cellStyle name="20% - Accent2 5 2 3 3 3" xfId="22417" xr:uid="{00000000-0005-0000-0000-0000800B0000}"/>
    <cellStyle name="20% - Accent2 5 2 3 4" xfId="10934" xr:uid="{00000000-0005-0000-0000-0000810B0000}"/>
    <cellStyle name="20% - Accent2 5 2 3 5" xfId="18889" xr:uid="{00000000-0005-0000-0000-0000820B0000}"/>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3" xfId="23296" xr:uid="{00000000-0005-0000-0000-0000870B0000}"/>
    <cellStyle name="20% - Accent2 5 2 4 3" xfId="11812" xr:uid="{00000000-0005-0000-0000-0000880B0000}"/>
    <cellStyle name="20% - Accent2 5 2 4 4" xfId="19767" xr:uid="{00000000-0005-0000-0000-0000890B0000}"/>
    <cellStyle name="20% - Accent2 5 2 5" xfId="5607" xr:uid="{00000000-0005-0000-0000-00008A0B0000}"/>
    <cellStyle name="20% - Accent2 5 2 5 2" xfId="13591" xr:uid="{00000000-0005-0000-0000-00008B0B0000}"/>
    <cellStyle name="20% - Accent2 5 2 5 3" xfId="21539" xr:uid="{00000000-0005-0000-0000-00008C0B0000}"/>
    <cellStyle name="20% - Accent2 5 2 6" xfId="9160" xr:uid="{00000000-0005-0000-0000-00008D0B0000}"/>
    <cellStyle name="20% - Accent2 5 2 6 2" xfId="17118" xr:uid="{00000000-0005-0000-0000-00008E0B0000}"/>
    <cellStyle name="20% - Accent2 5 2 6 3" xfId="25062" xr:uid="{00000000-0005-0000-0000-00008F0B0000}"/>
    <cellStyle name="20% - Accent2 5 2 7" xfId="10056" xr:uid="{00000000-0005-0000-0000-0000900B0000}"/>
    <cellStyle name="20% - Accent2 5 2 8" xfId="18011" xr:uid="{00000000-0005-0000-0000-0000910B0000}"/>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3" xfId="24176" xr:uid="{00000000-0005-0000-0000-0000980B0000}"/>
    <cellStyle name="20% - Accent2 5 3 2 2 3" xfId="12692" xr:uid="{00000000-0005-0000-0000-0000990B0000}"/>
    <cellStyle name="20% - Accent2 5 3 2 2 4" xfId="20647" xr:uid="{00000000-0005-0000-0000-00009A0B0000}"/>
    <cellStyle name="20% - Accent2 5 3 2 3" xfId="6500" xr:uid="{00000000-0005-0000-0000-00009B0B0000}"/>
    <cellStyle name="20% - Accent2 5 3 2 3 2" xfId="14472" xr:uid="{00000000-0005-0000-0000-00009C0B0000}"/>
    <cellStyle name="20% - Accent2 5 3 2 3 3" xfId="22419" xr:uid="{00000000-0005-0000-0000-00009D0B0000}"/>
    <cellStyle name="20% - Accent2 5 3 2 4" xfId="10936" xr:uid="{00000000-0005-0000-0000-00009E0B0000}"/>
    <cellStyle name="20% - Accent2 5 3 2 5" xfId="18891" xr:uid="{00000000-0005-0000-0000-00009F0B0000}"/>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3" xfId="23298" xr:uid="{00000000-0005-0000-0000-0000A40B0000}"/>
    <cellStyle name="20% - Accent2 5 3 3 3" xfId="11814" xr:uid="{00000000-0005-0000-0000-0000A50B0000}"/>
    <cellStyle name="20% - Accent2 5 3 3 4" xfId="19769" xr:uid="{00000000-0005-0000-0000-0000A60B0000}"/>
    <cellStyle name="20% - Accent2 5 3 4" xfId="5609" xr:uid="{00000000-0005-0000-0000-0000A70B0000}"/>
    <cellStyle name="20% - Accent2 5 3 4 2" xfId="13593" xr:uid="{00000000-0005-0000-0000-0000A80B0000}"/>
    <cellStyle name="20% - Accent2 5 3 4 3" xfId="21541" xr:uid="{00000000-0005-0000-0000-0000A90B0000}"/>
    <cellStyle name="20% - Accent2 5 3 5" xfId="9162" xr:uid="{00000000-0005-0000-0000-0000AA0B0000}"/>
    <cellStyle name="20% - Accent2 5 3 5 2" xfId="17120" xr:uid="{00000000-0005-0000-0000-0000AB0B0000}"/>
    <cellStyle name="20% - Accent2 5 3 5 3" xfId="25064" xr:uid="{00000000-0005-0000-0000-0000AC0B0000}"/>
    <cellStyle name="20% - Accent2 5 3 6" xfId="10058" xr:uid="{00000000-0005-0000-0000-0000AD0B0000}"/>
    <cellStyle name="20% - Accent2 5 3 7" xfId="18013" xr:uid="{00000000-0005-0000-0000-0000AE0B0000}"/>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3" xfId="24173" xr:uid="{00000000-0005-0000-0000-0000B50B0000}"/>
    <cellStyle name="20% - Accent2 5 5 2 3" xfId="12689" xr:uid="{00000000-0005-0000-0000-0000B60B0000}"/>
    <cellStyle name="20% - Accent2 5 5 2 4" xfId="20644" xr:uid="{00000000-0005-0000-0000-0000B70B0000}"/>
    <cellStyle name="20% - Accent2 5 5 3" xfId="6497" xr:uid="{00000000-0005-0000-0000-0000B80B0000}"/>
    <cellStyle name="20% - Accent2 5 5 3 2" xfId="14469" xr:uid="{00000000-0005-0000-0000-0000B90B0000}"/>
    <cellStyle name="20% - Accent2 5 5 3 3" xfId="22416" xr:uid="{00000000-0005-0000-0000-0000BA0B0000}"/>
    <cellStyle name="20% - Accent2 5 5 4" xfId="10933" xr:uid="{00000000-0005-0000-0000-0000BB0B0000}"/>
    <cellStyle name="20% - Accent2 5 5 5" xfId="18888" xr:uid="{00000000-0005-0000-0000-0000BC0B0000}"/>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3" xfId="23295" xr:uid="{00000000-0005-0000-0000-0000C10B0000}"/>
    <cellStyle name="20% - Accent2 5 6 3" xfId="11811" xr:uid="{00000000-0005-0000-0000-0000C20B0000}"/>
    <cellStyle name="20% - Accent2 5 6 4" xfId="19766" xr:uid="{00000000-0005-0000-0000-0000C30B0000}"/>
    <cellStyle name="20% - Accent2 5 7" xfId="5606" xr:uid="{00000000-0005-0000-0000-0000C40B0000}"/>
    <cellStyle name="20% - Accent2 5 7 2" xfId="13590" xr:uid="{00000000-0005-0000-0000-0000C50B0000}"/>
    <cellStyle name="20% - Accent2 5 7 3" xfId="21538" xr:uid="{00000000-0005-0000-0000-0000C60B0000}"/>
    <cellStyle name="20% - Accent2 5 8" xfId="9159" xr:uid="{00000000-0005-0000-0000-0000C70B0000}"/>
    <cellStyle name="20% - Accent2 5 8 2" xfId="17117" xr:uid="{00000000-0005-0000-0000-0000C80B0000}"/>
    <cellStyle name="20% - Accent2 5 8 3" xfId="25061" xr:uid="{00000000-0005-0000-0000-0000C90B0000}"/>
    <cellStyle name="20% - Accent2 5 9" xfId="10055" xr:uid="{00000000-0005-0000-0000-0000CA0B0000}"/>
    <cellStyle name="20% - Accent2 5_Exh G" xfId="2141" xr:uid="{00000000-0005-0000-0000-0000CB0B0000}"/>
    <cellStyle name="20% - Accent2 6" xfId="111" xr:uid="{00000000-0005-0000-0000-0000CC0B0000}"/>
    <cellStyle name="20% - Accent2 6 10" xfId="18014" xr:uid="{00000000-0005-0000-0000-0000CD0B0000}"/>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3" xfId="24179" xr:uid="{00000000-0005-0000-0000-0000D40B0000}"/>
    <cellStyle name="20% - Accent2 6 2 2 2 2 3" xfId="12695" xr:uid="{00000000-0005-0000-0000-0000D50B0000}"/>
    <cellStyle name="20% - Accent2 6 2 2 2 2 4" xfId="20650" xr:uid="{00000000-0005-0000-0000-0000D60B0000}"/>
    <cellStyle name="20% - Accent2 6 2 2 2 3" xfId="6503" xr:uid="{00000000-0005-0000-0000-0000D70B0000}"/>
    <cellStyle name="20% - Accent2 6 2 2 2 3 2" xfId="14475" xr:uid="{00000000-0005-0000-0000-0000D80B0000}"/>
    <cellStyle name="20% - Accent2 6 2 2 2 3 3" xfId="22422" xr:uid="{00000000-0005-0000-0000-0000D90B0000}"/>
    <cellStyle name="20% - Accent2 6 2 2 2 4" xfId="10939" xr:uid="{00000000-0005-0000-0000-0000DA0B0000}"/>
    <cellStyle name="20% - Accent2 6 2 2 2 5" xfId="18894" xr:uid="{00000000-0005-0000-0000-0000DB0B0000}"/>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3" xfId="23301" xr:uid="{00000000-0005-0000-0000-0000E00B0000}"/>
    <cellStyle name="20% - Accent2 6 2 2 3 3" xfId="11817" xr:uid="{00000000-0005-0000-0000-0000E10B0000}"/>
    <cellStyle name="20% - Accent2 6 2 2 3 4" xfId="19772" xr:uid="{00000000-0005-0000-0000-0000E20B0000}"/>
    <cellStyle name="20% - Accent2 6 2 2 4" xfId="5612" xr:uid="{00000000-0005-0000-0000-0000E30B0000}"/>
    <cellStyle name="20% - Accent2 6 2 2 4 2" xfId="13596" xr:uid="{00000000-0005-0000-0000-0000E40B0000}"/>
    <cellStyle name="20% - Accent2 6 2 2 4 3" xfId="21544" xr:uid="{00000000-0005-0000-0000-0000E50B0000}"/>
    <cellStyle name="20% - Accent2 6 2 2 5" xfId="9165" xr:uid="{00000000-0005-0000-0000-0000E60B0000}"/>
    <cellStyle name="20% - Accent2 6 2 2 5 2" xfId="17123" xr:uid="{00000000-0005-0000-0000-0000E70B0000}"/>
    <cellStyle name="20% - Accent2 6 2 2 5 3" xfId="25067" xr:uid="{00000000-0005-0000-0000-0000E80B0000}"/>
    <cellStyle name="20% - Accent2 6 2 2 6" xfId="10061" xr:uid="{00000000-0005-0000-0000-0000E90B0000}"/>
    <cellStyle name="20% - Accent2 6 2 2 7" xfId="18016" xr:uid="{00000000-0005-0000-0000-0000EA0B0000}"/>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3" xfId="24178" xr:uid="{00000000-0005-0000-0000-0000F00B0000}"/>
    <cellStyle name="20% - Accent2 6 2 3 2 3" xfId="12694" xr:uid="{00000000-0005-0000-0000-0000F10B0000}"/>
    <cellStyle name="20% - Accent2 6 2 3 2 4" xfId="20649" xr:uid="{00000000-0005-0000-0000-0000F20B0000}"/>
    <cellStyle name="20% - Accent2 6 2 3 3" xfId="6502" xr:uid="{00000000-0005-0000-0000-0000F30B0000}"/>
    <cellStyle name="20% - Accent2 6 2 3 3 2" xfId="14474" xr:uid="{00000000-0005-0000-0000-0000F40B0000}"/>
    <cellStyle name="20% - Accent2 6 2 3 3 3" xfId="22421" xr:uid="{00000000-0005-0000-0000-0000F50B0000}"/>
    <cellStyle name="20% - Accent2 6 2 3 4" xfId="10938" xr:uid="{00000000-0005-0000-0000-0000F60B0000}"/>
    <cellStyle name="20% - Accent2 6 2 3 5" xfId="18893" xr:uid="{00000000-0005-0000-0000-0000F70B000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3" xfId="23300" xr:uid="{00000000-0005-0000-0000-0000FC0B0000}"/>
    <cellStyle name="20% - Accent2 6 2 4 3" xfId="11816" xr:uid="{00000000-0005-0000-0000-0000FD0B0000}"/>
    <cellStyle name="20% - Accent2 6 2 4 4" xfId="19771" xr:uid="{00000000-0005-0000-0000-0000FE0B0000}"/>
    <cellStyle name="20% - Accent2 6 2 5" xfId="5611" xr:uid="{00000000-0005-0000-0000-0000FF0B0000}"/>
    <cellStyle name="20% - Accent2 6 2 5 2" xfId="13595" xr:uid="{00000000-0005-0000-0000-0000000C0000}"/>
    <cellStyle name="20% - Accent2 6 2 5 3" xfId="21543" xr:uid="{00000000-0005-0000-0000-0000010C0000}"/>
    <cellStyle name="20% - Accent2 6 2 6" xfId="9164" xr:uid="{00000000-0005-0000-0000-0000020C0000}"/>
    <cellStyle name="20% - Accent2 6 2 6 2" xfId="17122" xr:uid="{00000000-0005-0000-0000-0000030C0000}"/>
    <cellStyle name="20% - Accent2 6 2 6 3" xfId="25066" xr:uid="{00000000-0005-0000-0000-0000040C0000}"/>
    <cellStyle name="20% - Accent2 6 2 7" xfId="10060" xr:uid="{00000000-0005-0000-0000-0000050C0000}"/>
    <cellStyle name="20% - Accent2 6 2 8" xfId="18015" xr:uid="{00000000-0005-0000-0000-0000060C0000}"/>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3" xfId="24180" xr:uid="{00000000-0005-0000-0000-00000D0C0000}"/>
    <cellStyle name="20% - Accent2 6 3 2 2 3" xfId="12696" xr:uid="{00000000-0005-0000-0000-00000E0C0000}"/>
    <cellStyle name="20% - Accent2 6 3 2 2 4" xfId="20651" xr:uid="{00000000-0005-0000-0000-00000F0C0000}"/>
    <cellStyle name="20% - Accent2 6 3 2 3" xfId="6504" xr:uid="{00000000-0005-0000-0000-0000100C0000}"/>
    <cellStyle name="20% - Accent2 6 3 2 3 2" xfId="14476" xr:uid="{00000000-0005-0000-0000-0000110C0000}"/>
    <cellStyle name="20% - Accent2 6 3 2 3 3" xfId="22423" xr:uid="{00000000-0005-0000-0000-0000120C0000}"/>
    <cellStyle name="20% - Accent2 6 3 2 4" xfId="10940" xr:uid="{00000000-0005-0000-0000-0000130C0000}"/>
    <cellStyle name="20% - Accent2 6 3 2 5" xfId="18895" xr:uid="{00000000-0005-0000-0000-0000140C0000}"/>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3" xfId="23302" xr:uid="{00000000-0005-0000-0000-0000190C0000}"/>
    <cellStyle name="20% - Accent2 6 3 3 3" xfId="11818" xr:uid="{00000000-0005-0000-0000-00001A0C0000}"/>
    <cellStyle name="20% - Accent2 6 3 3 4" xfId="19773" xr:uid="{00000000-0005-0000-0000-00001B0C0000}"/>
    <cellStyle name="20% - Accent2 6 3 4" xfId="5613" xr:uid="{00000000-0005-0000-0000-00001C0C0000}"/>
    <cellStyle name="20% - Accent2 6 3 4 2" xfId="13597" xr:uid="{00000000-0005-0000-0000-00001D0C0000}"/>
    <cellStyle name="20% - Accent2 6 3 4 3" xfId="21545" xr:uid="{00000000-0005-0000-0000-00001E0C0000}"/>
    <cellStyle name="20% - Accent2 6 3 5" xfId="9166" xr:uid="{00000000-0005-0000-0000-00001F0C0000}"/>
    <cellStyle name="20% - Accent2 6 3 5 2" xfId="17124" xr:uid="{00000000-0005-0000-0000-0000200C0000}"/>
    <cellStyle name="20% - Accent2 6 3 5 3" xfId="25068" xr:uid="{00000000-0005-0000-0000-0000210C0000}"/>
    <cellStyle name="20% - Accent2 6 3 6" xfId="10062" xr:uid="{00000000-0005-0000-0000-0000220C0000}"/>
    <cellStyle name="20% - Accent2 6 3 7" xfId="18017" xr:uid="{00000000-0005-0000-0000-0000230C0000}"/>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3" xfId="24841" xr:uid="{00000000-0005-0000-0000-00002A0C0000}"/>
    <cellStyle name="20% - Accent2 6 4 2 2 3" xfId="13357" xr:uid="{00000000-0005-0000-0000-00002B0C0000}"/>
    <cellStyle name="20% - Accent2 6 4 2 2 4" xfId="21312" xr:uid="{00000000-0005-0000-0000-00002C0C0000}"/>
    <cellStyle name="20% - Accent2 6 4 2 3" xfId="7165" xr:uid="{00000000-0005-0000-0000-00002D0C0000}"/>
    <cellStyle name="20% - Accent2 6 4 2 3 2" xfId="15137" xr:uid="{00000000-0005-0000-0000-00002E0C0000}"/>
    <cellStyle name="20% - Accent2 6 4 2 3 3" xfId="23084" xr:uid="{00000000-0005-0000-0000-00002F0C0000}"/>
    <cellStyle name="20% - Accent2 6 4 2 4" xfId="11601" xr:uid="{00000000-0005-0000-0000-0000300C0000}"/>
    <cellStyle name="20% - Accent2 6 4 2 5" xfId="19556" xr:uid="{00000000-0005-0000-0000-0000310C0000}"/>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3" xfId="23963" xr:uid="{00000000-0005-0000-0000-0000360C0000}"/>
    <cellStyle name="20% - Accent2 6 4 3 3" xfId="12479" xr:uid="{00000000-0005-0000-0000-0000370C0000}"/>
    <cellStyle name="20% - Accent2 6 4 3 4" xfId="20434" xr:uid="{00000000-0005-0000-0000-0000380C0000}"/>
    <cellStyle name="20% - Accent2 6 4 4" xfId="6284" xr:uid="{00000000-0005-0000-0000-0000390C0000}"/>
    <cellStyle name="20% - Accent2 6 4 4 2" xfId="14259" xr:uid="{00000000-0005-0000-0000-00003A0C0000}"/>
    <cellStyle name="20% - Accent2 6 4 4 3" xfId="22206" xr:uid="{00000000-0005-0000-0000-00003B0C0000}"/>
    <cellStyle name="20% - Accent2 6 4 5" xfId="9827" xr:uid="{00000000-0005-0000-0000-00003C0C0000}"/>
    <cellStyle name="20% - Accent2 6 4 5 2" xfId="17785" xr:uid="{00000000-0005-0000-0000-00003D0C0000}"/>
    <cellStyle name="20% - Accent2 6 4 5 3" xfId="25729" xr:uid="{00000000-0005-0000-0000-00003E0C0000}"/>
    <cellStyle name="20% - Accent2 6 4 6" xfId="10723" xr:uid="{00000000-0005-0000-0000-00003F0C0000}"/>
    <cellStyle name="20% - Accent2 6 4 7" xfId="18678" xr:uid="{00000000-0005-0000-0000-0000400C0000}"/>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3" xfId="24177" xr:uid="{00000000-0005-0000-0000-0000460C0000}"/>
    <cellStyle name="20% - Accent2 6 5 2 3" xfId="12693" xr:uid="{00000000-0005-0000-0000-0000470C0000}"/>
    <cellStyle name="20% - Accent2 6 5 2 4" xfId="20648" xr:uid="{00000000-0005-0000-0000-0000480C0000}"/>
    <cellStyle name="20% - Accent2 6 5 3" xfId="6501" xr:uid="{00000000-0005-0000-0000-0000490C0000}"/>
    <cellStyle name="20% - Accent2 6 5 3 2" xfId="14473" xr:uid="{00000000-0005-0000-0000-00004A0C0000}"/>
    <cellStyle name="20% - Accent2 6 5 3 3" xfId="22420" xr:uid="{00000000-0005-0000-0000-00004B0C0000}"/>
    <cellStyle name="20% - Accent2 6 5 4" xfId="10937" xr:uid="{00000000-0005-0000-0000-00004C0C0000}"/>
    <cellStyle name="20% - Accent2 6 5 5" xfId="18892" xr:uid="{00000000-0005-0000-0000-00004D0C0000}"/>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3" xfId="23299" xr:uid="{00000000-0005-0000-0000-0000520C0000}"/>
    <cellStyle name="20% - Accent2 6 6 3" xfId="11815" xr:uid="{00000000-0005-0000-0000-0000530C0000}"/>
    <cellStyle name="20% - Accent2 6 6 4" xfId="19770" xr:uid="{00000000-0005-0000-0000-0000540C0000}"/>
    <cellStyle name="20% - Accent2 6 7" xfId="5610" xr:uid="{00000000-0005-0000-0000-0000550C0000}"/>
    <cellStyle name="20% - Accent2 6 7 2" xfId="13594" xr:uid="{00000000-0005-0000-0000-0000560C0000}"/>
    <cellStyle name="20% - Accent2 6 7 3" xfId="21542" xr:uid="{00000000-0005-0000-0000-0000570C0000}"/>
    <cellStyle name="20% - Accent2 6 8" xfId="9163" xr:uid="{00000000-0005-0000-0000-0000580C0000}"/>
    <cellStyle name="20% - Accent2 6 8 2" xfId="17121" xr:uid="{00000000-0005-0000-0000-0000590C0000}"/>
    <cellStyle name="20% - Accent2 6 8 3" xfId="25065" xr:uid="{00000000-0005-0000-0000-00005A0C0000}"/>
    <cellStyle name="20% - Accent2 6 9" xfId="10059" xr:uid="{00000000-0005-0000-0000-00005B0C0000}"/>
    <cellStyle name="20% - Accent2 6_Exh G" xfId="2149" xr:uid="{00000000-0005-0000-0000-00005C0C0000}"/>
    <cellStyle name="20% - Accent2 7" xfId="115" xr:uid="{00000000-0005-0000-0000-00005D0C0000}"/>
    <cellStyle name="20% - Accent2 7 10" xfId="18018" xr:uid="{00000000-0005-0000-0000-00005E0C0000}"/>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3" xfId="24183" xr:uid="{00000000-0005-0000-0000-0000650C0000}"/>
    <cellStyle name="20% - Accent2 7 2 2 2 2 3" xfId="12699" xr:uid="{00000000-0005-0000-0000-0000660C0000}"/>
    <cellStyle name="20% - Accent2 7 2 2 2 2 4" xfId="20654" xr:uid="{00000000-0005-0000-0000-0000670C0000}"/>
    <cellStyle name="20% - Accent2 7 2 2 2 3" xfId="6507" xr:uid="{00000000-0005-0000-0000-0000680C0000}"/>
    <cellStyle name="20% - Accent2 7 2 2 2 3 2" xfId="14479" xr:uid="{00000000-0005-0000-0000-0000690C0000}"/>
    <cellStyle name="20% - Accent2 7 2 2 2 3 3" xfId="22426" xr:uid="{00000000-0005-0000-0000-00006A0C0000}"/>
    <cellStyle name="20% - Accent2 7 2 2 2 4" xfId="10943" xr:uid="{00000000-0005-0000-0000-00006B0C0000}"/>
    <cellStyle name="20% - Accent2 7 2 2 2 5" xfId="18898" xr:uid="{00000000-0005-0000-0000-00006C0C0000}"/>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3" xfId="23305" xr:uid="{00000000-0005-0000-0000-0000710C0000}"/>
    <cellStyle name="20% - Accent2 7 2 2 3 3" xfId="11821" xr:uid="{00000000-0005-0000-0000-0000720C0000}"/>
    <cellStyle name="20% - Accent2 7 2 2 3 4" xfId="19776" xr:uid="{00000000-0005-0000-0000-0000730C0000}"/>
    <cellStyle name="20% - Accent2 7 2 2 4" xfId="5616" xr:uid="{00000000-0005-0000-0000-0000740C0000}"/>
    <cellStyle name="20% - Accent2 7 2 2 4 2" xfId="13600" xr:uid="{00000000-0005-0000-0000-0000750C0000}"/>
    <cellStyle name="20% - Accent2 7 2 2 4 3" xfId="21548" xr:uid="{00000000-0005-0000-0000-0000760C0000}"/>
    <cellStyle name="20% - Accent2 7 2 2 5" xfId="9169" xr:uid="{00000000-0005-0000-0000-0000770C0000}"/>
    <cellStyle name="20% - Accent2 7 2 2 5 2" xfId="17127" xr:uid="{00000000-0005-0000-0000-0000780C0000}"/>
    <cellStyle name="20% - Accent2 7 2 2 5 3" xfId="25071" xr:uid="{00000000-0005-0000-0000-0000790C0000}"/>
    <cellStyle name="20% - Accent2 7 2 2 6" xfId="10065" xr:uid="{00000000-0005-0000-0000-00007A0C0000}"/>
    <cellStyle name="20% - Accent2 7 2 2 7" xfId="18020" xr:uid="{00000000-0005-0000-0000-00007B0C0000}"/>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3" xfId="24182" xr:uid="{00000000-0005-0000-0000-0000810C0000}"/>
    <cellStyle name="20% - Accent2 7 2 3 2 3" xfId="12698" xr:uid="{00000000-0005-0000-0000-0000820C0000}"/>
    <cellStyle name="20% - Accent2 7 2 3 2 4" xfId="20653" xr:uid="{00000000-0005-0000-0000-0000830C0000}"/>
    <cellStyle name="20% - Accent2 7 2 3 3" xfId="6506" xr:uid="{00000000-0005-0000-0000-0000840C0000}"/>
    <cellStyle name="20% - Accent2 7 2 3 3 2" xfId="14478" xr:uid="{00000000-0005-0000-0000-0000850C0000}"/>
    <cellStyle name="20% - Accent2 7 2 3 3 3" xfId="22425" xr:uid="{00000000-0005-0000-0000-0000860C0000}"/>
    <cellStyle name="20% - Accent2 7 2 3 4" xfId="10942" xr:uid="{00000000-0005-0000-0000-0000870C0000}"/>
    <cellStyle name="20% - Accent2 7 2 3 5" xfId="18897" xr:uid="{00000000-0005-0000-0000-0000880C0000}"/>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3" xfId="23304" xr:uid="{00000000-0005-0000-0000-00008D0C0000}"/>
    <cellStyle name="20% - Accent2 7 2 4 3" xfId="11820" xr:uid="{00000000-0005-0000-0000-00008E0C0000}"/>
    <cellStyle name="20% - Accent2 7 2 4 4" xfId="19775" xr:uid="{00000000-0005-0000-0000-00008F0C0000}"/>
    <cellStyle name="20% - Accent2 7 2 5" xfId="5615" xr:uid="{00000000-0005-0000-0000-0000900C0000}"/>
    <cellStyle name="20% - Accent2 7 2 5 2" xfId="13599" xr:uid="{00000000-0005-0000-0000-0000910C0000}"/>
    <cellStyle name="20% - Accent2 7 2 5 3" xfId="21547" xr:uid="{00000000-0005-0000-0000-0000920C0000}"/>
    <cellStyle name="20% - Accent2 7 2 6" xfId="9168" xr:uid="{00000000-0005-0000-0000-0000930C0000}"/>
    <cellStyle name="20% - Accent2 7 2 6 2" xfId="17126" xr:uid="{00000000-0005-0000-0000-0000940C0000}"/>
    <cellStyle name="20% - Accent2 7 2 6 3" xfId="25070" xr:uid="{00000000-0005-0000-0000-0000950C0000}"/>
    <cellStyle name="20% - Accent2 7 2 7" xfId="10064" xr:uid="{00000000-0005-0000-0000-0000960C0000}"/>
    <cellStyle name="20% - Accent2 7 2 8" xfId="18019" xr:uid="{00000000-0005-0000-0000-0000970C0000}"/>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3" xfId="24184" xr:uid="{00000000-0005-0000-0000-00009E0C0000}"/>
    <cellStyle name="20% - Accent2 7 3 2 2 3" xfId="12700" xr:uid="{00000000-0005-0000-0000-00009F0C0000}"/>
    <cellStyle name="20% - Accent2 7 3 2 2 4" xfId="20655" xr:uid="{00000000-0005-0000-0000-0000A00C0000}"/>
    <cellStyle name="20% - Accent2 7 3 2 3" xfId="6508" xr:uid="{00000000-0005-0000-0000-0000A10C0000}"/>
    <cellStyle name="20% - Accent2 7 3 2 3 2" xfId="14480" xr:uid="{00000000-0005-0000-0000-0000A20C0000}"/>
    <cellStyle name="20% - Accent2 7 3 2 3 3" xfId="22427" xr:uid="{00000000-0005-0000-0000-0000A30C0000}"/>
    <cellStyle name="20% - Accent2 7 3 2 4" xfId="10944" xr:uid="{00000000-0005-0000-0000-0000A40C0000}"/>
    <cellStyle name="20% - Accent2 7 3 2 5" xfId="18899" xr:uid="{00000000-0005-0000-0000-0000A50C0000}"/>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3" xfId="23306" xr:uid="{00000000-0005-0000-0000-0000AA0C0000}"/>
    <cellStyle name="20% - Accent2 7 3 3 3" xfId="11822" xr:uid="{00000000-0005-0000-0000-0000AB0C0000}"/>
    <cellStyle name="20% - Accent2 7 3 3 4" xfId="19777" xr:uid="{00000000-0005-0000-0000-0000AC0C0000}"/>
    <cellStyle name="20% - Accent2 7 3 4" xfId="5617" xr:uid="{00000000-0005-0000-0000-0000AD0C0000}"/>
    <cellStyle name="20% - Accent2 7 3 4 2" xfId="13601" xr:uid="{00000000-0005-0000-0000-0000AE0C0000}"/>
    <cellStyle name="20% - Accent2 7 3 4 3" xfId="21549" xr:uid="{00000000-0005-0000-0000-0000AF0C0000}"/>
    <cellStyle name="20% - Accent2 7 3 5" xfId="9170" xr:uid="{00000000-0005-0000-0000-0000B00C0000}"/>
    <cellStyle name="20% - Accent2 7 3 5 2" xfId="17128" xr:uid="{00000000-0005-0000-0000-0000B10C0000}"/>
    <cellStyle name="20% - Accent2 7 3 5 3" xfId="25072" xr:uid="{00000000-0005-0000-0000-0000B20C0000}"/>
    <cellStyle name="20% - Accent2 7 3 6" xfId="10066" xr:uid="{00000000-0005-0000-0000-0000B30C0000}"/>
    <cellStyle name="20% - Accent2 7 3 7" xfId="18021" xr:uid="{00000000-0005-0000-0000-0000B40C0000}"/>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3" xfId="24842" xr:uid="{00000000-0005-0000-0000-0000BB0C0000}"/>
    <cellStyle name="20% - Accent2 7 4 2 2 3" xfId="13358" xr:uid="{00000000-0005-0000-0000-0000BC0C0000}"/>
    <cellStyle name="20% - Accent2 7 4 2 2 4" xfId="21313" xr:uid="{00000000-0005-0000-0000-0000BD0C0000}"/>
    <cellStyle name="20% - Accent2 7 4 2 3" xfId="7166" xr:uid="{00000000-0005-0000-0000-0000BE0C0000}"/>
    <cellStyle name="20% - Accent2 7 4 2 3 2" xfId="15138" xr:uid="{00000000-0005-0000-0000-0000BF0C0000}"/>
    <cellStyle name="20% - Accent2 7 4 2 3 3" xfId="23085" xr:uid="{00000000-0005-0000-0000-0000C00C0000}"/>
    <cellStyle name="20% - Accent2 7 4 2 4" xfId="11602" xr:uid="{00000000-0005-0000-0000-0000C10C0000}"/>
    <cellStyle name="20% - Accent2 7 4 2 5" xfId="19557" xr:uid="{00000000-0005-0000-0000-0000C20C0000}"/>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3" xfId="23964" xr:uid="{00000000-0005-0000-0000-0000C70C0000}"/>
    <cellStyle name="20% - Accent2 7 4 3 3" xfId="12480" xr:uid="{00000000-0005-0000-0000-0000C80C0000}"/>
    <cellStyle name="20% - Accent2 7 4 3 4" xfId="20435" xr:uid="{00000000-0005-0000-0000-0000C90C0000}"/>
    <cellStyle name="20% - Accent2 7 4 4" xfId="6285" xr:uid="{00000000-0005-0000-0000-0000CA0C0000}"/>
    <cellStyle name="20% - Accent2 7 4 4 2" xfId="14260" xr:uid="{00000000-0005-0000-0000-0000CB0C0000}"/>
    <cellStyle name="20% - Accent2 7 4 4 3" xfId="22207" xr:uid="{00000000-0005-0000-0000-0000CC0C0000}"/>
    <cellStyle name="20% - Accent2 7 4 5" xfId="9828" xr:uid="{00000000-0005-0000-0000-0000CD0C0000}"/>
    <cellStyle name="20% - Accent2 7 4 5 2" xfId="17786" xr:uid="{00000000-0005-0000-0000-0000CE0C0000}"/>
    <cellStyle name="20% - Accent2 7 4 5 3" xfId="25730" xr:uid="{00000000-0005-0000-0000-0000CF0C0000}"/>
    <cellStyle name="20% - Accent2 7 4 6" xfId="10724" xr:uid="{00000000-0005-0000-0000-0000D00C0000}"/>
    <cellStyle name="20% - Accent2 7 4 7" xfId="18679" xr:uid="{00000000-0005-0000-0000-0000D10C0000}"/>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3" xfId="24181" xr:uid="{00000000-0005-0000-0000-0000D70C0000}"/>
    <cellStyle name="20% - Accent2 7 5 2 3" xfId="12697" xr:uid="{00000000-0005-0000-0000-0000D80C0000}"/>
    <cellStyle name="20% - Accent2 7 5 2 4" xfId="20652" xr:uid="{00000000-0005-0000-0000-0000D90C0000}"/>
    <cellStyle name="20% - Accent2 7 5 3" xfId="6505" xr:uid="{00000000-0005-0000-0000-0000DA0C0000}"/>
    <cellStyle name="20% - Accent2 7 5 3 2" xfId="14477" xr:uid="{00000000-0005-0000-0000-0000DB0C0000}"/>
    <cellStyle name="20% - Accent2 7 5 3 3" xfId="22424" xr:uid="{00000000-0005-0000-0000-0000DC0C0000}"/>
    <cellStyle name="20% - Accent2 7 5 4" xfId="10941" xr:uid="{00000000-0005-0000-0000-0000DD0C0000}"/>
    <cellStyle name="20% - Accent2 7 5 5" xfId="18896" xr:uid="{00000000-0005-0000-0000-0000DE0C0000}"/>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3" xfId="23303" xr:uid="{00000000-0005-0000-0000-0000E30C0000}"/>
    <cellStyle name="20% - Accent2 7 6 3" xfId="11819" xr:uid="{00000000-0005-0000-0000-0000E40C0000}"/>
    <cellStyle name="20% - Accent2 7 6 4" xfId="19774" xr:uid="{00000000-0005-0000-0000-0000E50C0000}"/>
    <cellStyle name="20% - Accent2 7 7" xfId="5614" xr:uid="{00000000-0005-0000-0000-0000E60C0000}"/>
    <cellStyle name="20% - Accent2 7 7 2" xfId="13598" xr:uid="{00000000-0005-0000-0000-0000E70C0000}"/>
    <cellStyle name="20% - Accent2 7 7 3" xfId="21546" xr:uid="{00000000-0005-0000-0000-0000E80C0000}"/>
    <cellStyle name="20% - Accent2 7 8" xfId="9167" xr:uid="{00000000-0005-0000-0000-0000E90C0000}"/>
    <cellStyle name="20% - Accent2 7 8 2" xfId="17125" xr:uid="{00000000-0005-0000-0000-0000EA0C0000}"/>
    <cellStyle name="20% - Accent2 7 8 3" xfId="25069" xr:uid="{00000000-0005-0000-0000-0000EB0C0000}"/>
    <cellStyle name="20% - Accent2 7 9" xfId="10063" xr:uid="{00000000-0005-0000-0000-0000EC0C0000}"/>
    <cellStyle name="20% - Accent2 7_Exh G" xfId="2159" xr:uid="{00000000-0005-0000-0000-0000ED0C0000}"/>
    <cellStyle name="20% - Accent2 8" xfId="119" xr:uid="{00000000-0005-0000-0000-0000EE0C0000}"/>
    <cellStyle name="20% - Accent2 8 10" xfId="18022" xr:uid="{00000000-0005-0000-0000-0000EF0C0000}"/>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3" xfId="24187" xr:uid="{00000000-0005-0000-0000-0000F60C0000}"/>
    <cellStyle name="20% - Accent2 8 2 2 2 2 3" xfId="12703" xr:uid="{00000000-0005-0000-0000-0000F70C0000}"/>
    <cellStyle name="20% - Accent2 8 2 2 2 2 4" xfId="20658" xr:uid="{00000000-0005-0000-0000-0000F80C0000}"/>
    <cellStyle name="20% - Accent2 8 2 2 2 3" xfId="6511" xr:uid="{00000000-0005-0000-0000-0000F90C0000}"/>
    <cellStyle name="20% - Accent2 8 2 2 2 3 2" xfId="14483" xr:uid="{00000000-0005-0000-0000-0000FA0C0000}"/>
    <cellStyle name="20% - Accent2 8 2 2 2 3 3" xfId="22430" xr:uid="{00000000-0005-0000-0000-0000FB0C0000}"/>
    <cellStyle name="20% - Accent2 8 2 2 2 4" xfId="10947" xr:uid="{00000000-0005-0000-0000-0000FC0C0000}"/>
    <cellStyle name="20% - Accent2 8 2 2 2 5" xfId="18902" xr:uid="{00000000-0005-0000-0000-0000FD0C000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3" xfId="23309" xr:uid="{00000000-0005-0000-0000-0000020D0000}"/>
    <cellStyle name="20% - Accent2 8 2 2 3 3" xfId="11825" xr:uid="{00000000-0005-0000-0000-0000030D0000}"/>
    <cellStyle name="20% - Accent2 8 2 2 3 4" xfId="19780" xr:uid="{00000000-0005-0000-0000-0000040D0000}"/>
    <cellStyle name="20% - Accent2 8 2 2 4" xfId="5620" xr:uid="{00000000-0005-0000-0000-0000050D0000}"/>
    <cellStyle name="20% - Accent2 8 2 2 4 2" xfId="13604" xr:uid="{00000000-0005-0000-0000-0000060D0000}"/>
    <cellStyle name="20% - Accent2 8 2 2 4 3" xfId="21552" xr:uid="{00000000-0005-0000-0000-0000070D0000}"/>
    <cellStyle name="20% - Accent2 8 2 2 5" xfId="9173" xr:uid="{00000000-0005-0000-0000-0000080D0000}"/>
    <cellStyle name="20% - Accent2 8 2 2 5 2" xfId="17131" xr:uid="{00000000-0005-0000-0000-0000090D0000}"/>
    <cellStyle name="20% - Accent2 8 2 2 5 3" xfId="25075" xr:uid="{00000000-0005-0000-0000-00000A0D0000}"/>
    <cellStyle name="20% - Accent2 8 2 2 6" xfId="10069" xr:uid="{00000000-0005-0000-0000-00000B0D0000}"/>
    <cellStyle name="20% - Accent2 8 2 2 7" xfId="18024" xr:uid="{00000000-0005-0000-0000-00000C0D0000}"/>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3" xfId="24186" xr:uid="{00000000-0005-0000-0000-0000120D0000}"/>
    <cellStyle name="20% - Accent2 8 2 3 2 3" xfId="12702" xr:uid="{00000000-0005-0000-0000-0000130D0000}"/>
    <cellStyle name="20% - Accent2 8 2 3 2 4" xfId="20657" xr:uid="{00000000-0005-0000-0000-0000140D0000}"/>
    <cellStyle name="20% - Accent2 8 2 3 3" xfId="6510" xr:uid="{00000000-0005-0000-0000-0000150D0000}"/>
    <cellStyle name="20% - Accent2 8 2 3 3 2" xfId="14482" xr:uid="{00000000-0005-0000-0000-0000160D0000}"/>
    <cellStyle name="20% - Accent2 8 2 3 3 3" xfId="22429" xr:uid="{00000000-0005-0000-0000-0000170D0000}"/>
    <cellStyle name="20% - Accent2 8 2 3 4" xfId="10946" xr:uid="{00000000-0005-0000-0000-0000180D0000}"/>
    <cellStyle name="20% - Accent2 8 2 3 5" xfId="18901" xr:uid="{00000000-0005-0000-0000-0000190D0000}"/>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3" xfId="23308" xr:uid="{00000000-0005-0000-0000-00001E0D0000}"/>
    <cellStyle name="20% - Accent2 8 2 4 3" xfId="11824" xr:uid="{00000000-0005-0000-0000-00001F0D0000}"/>
    <cellStyle name="20% - Accent2 8 2 4 4" xfId="19779" xr:uid="{00000000-0005-0000-0000-0000200D0000}"/>
    <cellStyle name="20% - Accent2 8 2 5" xfId="5619" xr:uid="{00000000-0005-0000-0000-0000210D0000}"/>
    <cellStyle name="20% - Accent2 8 2 5 2" xfId="13603" xr:uid="{00000000-0005-0000-0000-0000220D0000}"/>
    <cellStyle name="20% - Accent2 8 2 5 3" xfId="21551" xr:uid="{00000000-0005-0000-0000-0000230D0000}"/>
    <cellStyle name="20% - Accent2 8 2 6" xfId="9172" xr:uid="{00000000-0005-0000-0000-0000240D0000}"/>
    <cellStyle name="20% - Accent2 8 2 6 2" xfId="17130" xr:uid="{00000000-0005-0000-0000-0000250D0000}"/>
    <cellStyle name="20% - Accent2 8 2 6 3" xfId="25074" xr:uid="{00000000-0005-0000-0000-0000260D0000}"/>
    <cellStyle name="20% - Accent2 8 2 7" xfId="10068" xr:uid="{00000000-0005-0000-0000-0000270D0000}"/>
    <cellStyle name="20% - Accent2 8 2 8" xfId="18023" xr:uid="{00000000-0005-0000-0000-0000280D0000}"/>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3" xfId="24188" xr:uid="{00000000-0005-0000-0000-00002F0D0000}"/>
    <cellStyle name="20% - Accent2 8 3 2 2 3" xfId="12704" xr:uid="{00000000-0005-0000-0000-0000300D0000}"/>
    <cellStyle name="20% - Accent2 8 3 2 2 4" xfId="20659" xr:uid="{00000000-0005-0000-0000-0000310D0000}"/>
    <cellStyle name="20% - Accent2 8 3 2 3" xfId="6512" xr:uid="{00000000-0005-0000-0000-0000320D0000}"/>
    <cellStyle name="20% - Accent2 8 3 2 3 2" xfId="14484" xr:uid="{00000000-0005-0000-0000-0000330D0000}"/>
    <cellStyle name="20% - Accent2 8 3 2 3 3" xfId="22431" xr:uid="{00000000-0005-0000-0000-0000340D0000}"/>
    <cellStyle name="20% - Accent2 8 3 2 4" xfId="10948" xr:uid="{00000000-0005-0000-0000-0000350D0000}"/>
    <cellStyle name="20% - Accent2 8 3 2 5" xfId="18903" xr:uid="{00000000-0005-0000-0000-0000360D0000}"/>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3" xfId="23310" xr:uid="{00000000-0005-0000-0000-00003B0D0000}"/>
    <cellStyle name="20% - Accent2 8 3 3 3" xfId="11826" xr:uid="{00000000-0005-0000-0000-00003C0D0000}"/>
    <cellStyle name="20% - Accent2 8 3 3 4" xfId="19781" xr:uid="{00000000-0005-0000-0000-00003D0D0000}"/>
    <cellStyle name="20% - Accent2 8 3 4" xfId="5621" xr:uid="{00000000-0005-0000-0000-00003E0D0000}"/>
    <cellStyle name="20% - Accent2 8 3 4 2" xfId="13605" xr:uid="{00000000-0005-0000-0000-00003F0D0000}"/>
    <cellStyle name="20% - Accent2 8 3 4 3" xfId="21553" xr:uid="{00000000-0005-0000-0000-0000400D0000}"/>
    <cellStyle name="20% - Accent2 8 3 5" xfId="9174" xr:uid="{00000000-0005-0000-0000-0000410D0000}"/>
    <cellStyle name="20% - Accent2 8 3 5 2" xfId="17132" xr:uid="{00000000-0005-0000-0000-0000420D0000}"/>
    <cellStyle name="20% - Accent2 8 3 5 3" xfId="25076" xr:uid="{00000000-0005-0000-0000-0000430D0000}"/>
    <cellStyle name="20% - Accent2 8 3 6" xfId="10070" xr:uid="{00000000-0005-0000-0000-0000440D0000}"/>
    <cellStyle name="20% - Accent2 8 3 7" xfId="18025" xr:uid="{00000000-0005-0000-0000-0000450D0000}"/>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3" xfId="24843" xr:uid="{00000000-0005-0000-0000-00004C0D0000}"/>
    <cellStyle name="20% - Accent2 8 4 2 2 3" xfId="13359" xr:uid="{00000000-0005-0000-0000-00004D0D0000}"/>
    <cellStyle name="20% - Accent2 8 4 2 2 4" xfId="21314" xr:uid="{00000000-0005-0000-0000-00004E0D0000}"/>
    <cellStyle name="20% - Accent2 8 4 2 3" xfId="7167" xr:uid="{00000000-0005-0000-0000-00004F0D0000}"/>
    <cellStyle name="20% - Accent2 8 4 2 3 2" xfId="15139" xr:uid="{00000000-0005-0000-0000-0000500D0000}"/>
    <cellStyle name="20% - Accent2 8 4 2 3 3" xfId="23086" xr:uid="{00000000-0005-0000-0000-0000510D0000}"/>
    <cellStyle name="20% - Accent2 8 4 2 4" xfId="11603" xr:uid="{00000000-0005-0000-0000-0000520D0000}"/>
    <cellStyle name="20% - Accent2 8 4 2 5" xfId="19558" xr:uid="{00000000-0005-0000-0000-0000530D0000}"/>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3" xfId="23965" xr:uid="{00000000-0005-0000-0000-0000580D0000}"/>
    <cellStyle name="20% - Accent2 8 4 3 3" xfId="12481" xr:uid="{00000000-0005-0000-0000-0000590D0000}"/>
    <cellStyle name="20% - Accent2 8 4 3 4" xfId="20436" xr:uid="{00000000-0005-0000-0000-00005A0D0000}"/>
    <cellStyle name="20% - Accent2 8 4 4" xfId="6286" xr:uid="{00000000-0005-0000-0000-00005B0D0000}"/>
    <cellStyle name="20% - Accent2 8 4 4 2" xfId="14261" xr:uid="{00000000-0005-0000-0000-00005C0D0000}"/>
    <cellStyle name="20% - Accent2 8 4 4 3" xfId="22208" xr:uid="{00000000-0005-0000-0000-00005D0D0000}"/>
    <cellStyle name="20% - Accent2 8 4 5" xfId="9829" xr:uid="{00000000-0005-0000-0000-00005E0D0000}"/>
    <cellStyle name="20% - Accent2 8 4 5 2" xfId="17787" xr:uid="{00000000-0005-0000-0000-00005F0D0000}"/>
    <cellStyle name="20% - Accent2 8 4 5 3" xfId="25731" xr:uid="{00000000-0005-0000-0000-0000600D0000}"/>
    <cellStyle name="20% - Accent2 8 4 6" xfId="10725" xr:uid="{00000000-0005-0000-0000-0000610D0000}"/>
    <cellStyle name="20% - Accent2 8 4 7" xfId="18680" xr:uid="{00000000-0005-0000-0000-0000620D0000}"/>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3" xfId="24185" xr:uid="{00000000-0005-0000-0000-0000680D0000}"/>
    <cellStyle name="20% - Accent2 8 5 2 3" xfId="12701" xr:uid="{00000000-0005-0000-0000-0000690D0000}"/>
    <cellStyle name="20% - Accent2 8 5 2 4" xfId="20656" xr:uid="{00000000-0005-0000-0000-00006A0D0000}"/>
    <cellStyle name="20% - Accent2 8 5 3" xfId="6509" xr:uid="{00000000-0005-0000-0000-00006B0D0000}"/>
    <cellStyle name="20% - Accent2 8 5 3 2" xfId="14481" xr:uid="{00000000-0005-0000-0000-00006C0D0000}"/>
    <cellStyle name="20% - Accent2 8 5 3 3" xfId="22428" xr:uid="{00000000-0005-0000-0000-00006D0D0000}"/>
    <cellStyle name="20% - Accent2 8 5 4" xfId="10945" xr:uid="{00000000-0005-0000-0000-00006E0D0000}"/>
    <cellStyle name="20% - Accent2 8 5 5" xfId="18900" xr:uid="{00000000-0005-0000-0000-00006F0D0000}"/>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3" xfId="23307" xr:uid="{00000000-0005-0000-0000-0000740D0000}"/>
    <cellStyle name="20% - Accent2 8 6 3" xfId="11823" xr:uid="{00000000-0005-0000-0000-0000750D0000}"/>
    <cellStyle name="20% - Accent2 8 6 4" xfId="19778" xr:uid="{00000000-0005-0000-0000-0000760D0000}"/>
    <cellStyle name="20% - Accent2 8 7" xfId="5618" xr:uid="{00000000-0005-0000-0000-0000770D0000}"/>
    <cellStyle name="20% - Accent2 8 7 2" xfId="13602" xr:uid="{00000000-0005-0000-0000-0000780D0000}"/>
    <cellStyle name="20% - Accent2 8 7 3" xfId="21550" xr:uid="{00000000-0005-0000-0000-0000790D0000}"/>
    <cellStyle name="20% - Accent2 8 8" xfId="9171" xr:uid="{00000000-0005-0000-0000-00007A0D0000}"/>
    <cellStyle name="20% - Accent2 8 8 2" xfId="17129" xr:uid="{00000000-0005-0000-0000-00007B0D0000}"/>
    <cellStyle name="20% - Accent2 8 8 3" xfId="25073" xr:uid="{00000000-0005-0000-0000-00007C0D0000}"/>
    <cellStyle name="20% - Accent2 8 9" xfId="10067" xr:uid="{00000000-0005-0000-0000-00007D0D0000}"/>
    <cellStyle name="20% - Accent2 8_Exh G" xfId="2169" xr:uid="{00000000-0005-0000-0000-00007E0D0000}"/>
    <cellStyle name="20% - Accent2 9" xfId="123" xr:uid="{00000000-0005-0000-0000-00007F0D0000}"/>
    <cellStyle name="20% - Accent2 9 10" xfId="18026" xr:uid="{00000000-0005-0000-0000-0000800D0000}"/>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3" xfId="24191" xr:uid="{00000000-0005-0000-0000-0000870D0000}"/>
    <cellStyle name="20% - Accent2 9 2 2 2 2 3" xfId="12707" xr:uid="{00000000-0005-0000-0000-0000880D0000}"/>
    <cellStyle name="20% - Accent2 9 2 2 2 2 4" xfId="20662" xr:uid="{00000000-0005-0000-0000-0000890D0000}"/>
    <cellStyle name="20% - Accent2 9 2 2 2 3" xfId="6515" xr:uid="{00000000-0005-0000-0000-00008A0D0000}"/>
    <cellStyle name="20% - Accent2 9 2 2 2 3 2" xfId="14487" xr:uid="{00000000-0005-0000-0000-00008B0D0000}"/>
    <cellStyle name="20% - Accent2 9 2 2 2 3 3" xfId="22434" xr:uid="{00000000-0005-0000-0000-00008C0D0000}"/>
    <cellStyle name="20% - Accent2 9 2 2 2 4" xfId="10951" xr:uid="{00000000-0005-0000-0000-00008D0D0000}"/>
    <cellStyle name="20% - Accent2 9 2 2 2 5" xfId="18906" xr:uid="{00000000-0005-0000-0000-00008E0D0000}"/>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3" xfId="23313" xr:uid="{00000000-0005-0000-0000-0000930D0000}"/>
    <cellStyle name="20% - Accent2 9 2 2 3 3" xfId="11829" xr:uid="{00000000-0005-0000-0000-0000940D0000}"/>
    <cellStyle name="20% - Accent2 9 2 2 3 4" xfId="19784" xr:uid="{00000000-0005-0000-0000-0000950D0000}"/>
    <cellStyle name="20% - Accent2 9 2 2 4" xfId="5624" xr:uid="{00000000-0005-0000-0000-0000960D0000}"/>
    <cellStyle name="20% - Accent2 9 2 2 4 2" xfId="13608" xr:uid="{00000000-0005-0000-0000-0000970D0000}"/>
    <cellStyle name="20% - Accent2 9 2 2 4 3" xfId="21556" xr:uid="{00000000-0005-0000-0000-0000980D0000}"/>
    <cellStyle name="20% - Accent2 9 2 2 5" xfId="9177" xr:uid="{00000000-0005-0000-0000-0000990D0000}"/>
    <cellStyle name="20% - Accent2 9 2 2 5 2" xfId="17135" xr:uid="{00000000-0005-0000-0000-00009A0D0000}"/>
    <cellStyle name="20% - Accent2 9 2 2 5 3" xfId="25079" xr:uid="{00000000-0005-0000-0000-00009B0D0000}"/>
    <cellStyle name="20% - Accent2 9 2 2 6" xfId="10073" xr:uid="{00000000-0005-0000-0000-00009C0D0000}"/>
    <cellStyle name="20% - Accent2 9 2 2 7" xfId="18028" xr:uid="{00000000-0005-0000-0000-00009D0D0000}"/>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3" xfId="24190" xr:uid="{00000000-0005-0000-0000-0000A30D0000}"/>
    <cellStyle name="20% - Accent2 9 2 3 2 3" xfId="12706" xr:uid="{00000000-0005-0000-0000-0000A40D0000}"/>
    <cellStyle name="20% - Accent2 9 2 3 2 4" xfId="20661" xr:uid="{00000000-0005-0000-0000-0000A50D0000}"/>
    <cellStyle name="20% - Accent2 9 2 3 3" xfId="6514" xr:uid="{00000000-0005-0000-0000-0000A60D0000}"/>
    <cellStyle name="20% - Accent2 9 2 3 3 2" xfId="14486" xr:uid="{00000000-0005-0000-0000-0000A70D0000}"/>
    <cellStyle name="20% - Accent2 9 2 3 3 3" xfId="22433" xr:uid="{00000000-0005-0000-0000-0000A80D0000}"/>
    <cellStyle name="20% - Accent2 9 2 3 4" xfId="10950" xr:uid="{00000000-0005-0000-0000-0000A90D0000}"/>
    <cellStyle name="20% - Accent2 9 2 3 5" xfId="18905" xr:uid="{00000000-0005-0000-0000-0000AA0D0000}"/>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3" xfId="23312" xr:uid="{00000000-0005-0000-0000-0000AF0D0000}"/>
    <cellStyle name="20% - Accent2 9 2 4 3" xfId="11828" xr:uid="{00000000-0005-0000-0000-0000B00D0000}"/>
    <cellStyle name="20% - Accent2 9 2 4 4" xfId="19783" xr:uid="{00000000-0005-0000-0000-0000B10D0000}"/>
    <cellStyle name="20% - Accent2 9 2 5" xfId="5623" xr:uid="{00000000-0005-0000-0000-0000B20D0000}"/>
    <cellStyle name="20% - Accent2 9 2 5 2" xfId="13607" xr:uid="{00000000-0005-0000-0000-0000B30D0000}"/>
    <cellStyle name="20% - Accent2 9 2 5 3" xfId="21555" xr:uid="{00000000-0005-0000-0000-0000B40D0000}"/>
    <cellStyle name="20% - Accent2 9 2 6" xfId="9176" xr:uid="{00000000-0005-0000-0000-0000B50D0000}"/>
    <cellStyle name="20% - Accent2 9 2 6 2" xfId="17134" xr:uid="{00000000-0005-0000-0000-0000B60D0000}"/>
    <cellStyle name="20% - Accent2 9 2 6 3" xfId="25078" xr:uid="{00000000-0005-0000-0000-0000B70D0000}"/>
    <cellStyle name="20% - Accent2 9 2 7" xfId="10072" xr:uid="{00000000-0005-0000-0000-0000B80D0000}"/>
    <cellStyle name="20% - Accent2 9 2 8" xfId="18027" xr:uid="{00000000-0005-0000-0000-0000B90D0000}"/>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3" xfId="24192" xr:uid="{00000000-0005-0000-0000-0000C00D0000}"/>
    <cellStyle name="20% - Accent2 9 3 2 2 3" xfId="12708" xr:uid="{00000000-0005-0000-0000-0000C10D0000}"/>
    <cellStyle name="20% - Accent2 9 3 2 2 4" xfId="20663" xr:uid="{00000000-0005-0000-0000-0000C20D0000}"/>
    <cellStyle name="20% - Accent2 9 3 2 3" xfId="6516" xr:uid="{00000000-0005-0000-0000-0000C30D0000}"/>
    <cellStyle name="20% - Accent2 9 3 2 3 2" xfId="14488" xr:uid="{00000000-0005-0000-0000-0000C40D0000}"/>
    <cellStyle name="20% - Accent2 9 3 2 3 3" xfId="22435" xr:uid="{00000000-0005-0000-0000-0000C50D0000}"/>
    <cellStyle name="20% - Accent2 9 3 2 4" xfId="10952" xr:uid="{00000000-0005-0000-0000-0000C60D0000}"/>
    <cellStyle name="20% - Accent2 9 3 2 5" xfId="18907" xr:uid="{00000000-0005-0000-0000-0000C70D0000}"/>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3" xfId="23314" xr:uid="{00000000-0005-0000-0000-0000CC0D0000}"/>
    <cellStyle name="20% - Accent2 9 3 3 3" xfId="11830" xr:uid="{00000000-0005-0000-0000-0000CD0D0000}"/>
    <cellStyle name="20% - Accent2 9 3 3 4" xfId="19785" xr:uid="{00000000-0005-0000-0000-0000CE0D0000}"/>
    <cellStyle name="20% - Accent2 9 3 4" xfId="5625" xr:uid="{00000000-0005-0000-0000-0000CF0D0000}"/>
    <cellStyle name="20% - Accent2 9 3 4 2" xfId="13609" xr:uid="{00000000-0005-0000-0000-0000D00D0000}"/>
    <cellStyle name="20% - Accent2 9 3 4 3" xfId="21557" xr:uid="{00000000-0005-0000-0000-0000D10D0000}"/>
    <cellStyle name="20% - Accent2 9 3 5" xfId="9178" xr:uid="{00000000-0005-0000-0000-0000D20D0000}"/>
    <cellStyle name="20% - Accent2 9 3 5 2" xfId="17136" xr:uid="{00000000-0005-0000-0000-0000D30D0000}"/>
    <cellStyle name="20% - Accent2 9 3 5 3" xfId="25080" xr:uid="{00000000-0005-0000-0000-0000D40D0000}"/>
    <cellStyle name="20% - Accent2 9 3 6" xfId="10074" xr:uid="{00000000-0005-0000-0000-0000D50D0000}"/>
    <cellStyle name="20% - Accent2 9 3 7" xfId="18029" xr:uid="{00000000-0005-0000-0000-0000D60D0000}"/>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3" xfId="24844" xr:uid="{00000000-0005-0000-0000-0000DD0D0000}"/>
    <cellStyle name="20% - Accent2 9 4 2 2 3" xfId="13360" xr:uid="{00000000-0005-0000-0000-0000DE0D0000}"/>
    <cellStyle name="20% - Accent2 9 4 2 2 4" xfId="21315" xr:uid="{00000000-0005-0000-0000-0000DF0D0000}"/>
    <cellStyle name="20% - Accent2 9 4 2 3" xfId="7168" xr:uid="{00000000-0005-0000-0000-0000E00D0000}"/>
    <cellStyle name="20% - Accent2 9 4 2 3 2" xfId="15140" xr:uid="{00000000-0005-0000-0000-0000E10D0000}"/>
    <cellStyle name="20% - Accent2 9 4 2 3 3" xfId="23087" xr:uid="{00000000-0005-0000-0000-0000E20D0000}"/>
    <cellStyle name="20% - Accent2 9 4 2 4" xfId="11604" xr:uid="{00000000-0005-0000-0000-0000E30D0000}"/>
    <cellStyle name="20% - Accent2 9 4 2 5" xfId="19559" xr:uid="{00000000-0005-0000-0000-0000E40D0000}"/>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3" xfId="23966" xr:uid="{00000000-0005-0000-0000-0000E90D0000}"/>
    <cellStyle name="20% - Accent2 9 4 3 3" xfId="12482" xr:uid="{00000000-0005-0000-0000-0000EA0D0000}"/>
    <cellStyle name="20% - Accent2 9 4 3 4" xfId="20437" xr:uid="{00000000-0005-0000-0000-0000EB0D0000}"/>
    <cellStyle name="20% - Accent2 9 4 4" xfId="6287" xr:uid="{00000000-0005-0000-0000-0000EC0D0000}"/>
    <cellStyle name="20% - Accent2 9 4 4 2" xfId="14262" xr:uid="{00000000-0005-0000-0000-0000ED0D0000}"/>
    <cellStyle name="20% - Accent2 9 4 4 3" xfId="22209" xr:uid="{00000000-0005-0000-0000-0000EE0D0000}"/>
    <cellStyle name="20% - Accent2 9 4 5" xfId="9830" xr:uid="{00000000-0005-0000-0000-0000EF0D0000}"/>
    <cellStyle name="20% - Accent2 9 4 5 2" xfId="17788" xr:uid="{00000000-0005-0000-0000-0000F00D0000}"/>
    <cellStyle name="20% - Accent2 9 4 5 3" xfId="25732" xr:uid="{00000000-0005-0000-0000-0000F10D0000}"/>
    <cellStyle name="20% - Accent2 9 4 6" xfId="10726" xr:uid="{00000000-0005-0000-0000-0000F20D0000}"/>
    <cellStyle name="20% - Accent2 9 4 7" xfId="18681" xr:uid="{00000000-0005-0000-0000-0000F30D0000}"/>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3" xfId="24189" xr:uid="{00000000-0005-0000-0000-0000F90D0000}"/>
    <cellStyle name="20% - Accent2 9 5 2 3" xfId="12705" xr:uid="{00000000-0005-0000-0000-0000FA0D0000}"/>
    <cellStyle name="20% - Accent2 9 5 2 4" xfId="20660" xr:uid="{00000000-0005-0000-0000-0000FB0D0000}"/>
    <cellStyle name="20% - Accent2 9 5 3" xfId="6513" xr:uid="{00000000-0005-0000-0000-0000FC0D0000}"/>
    <cellStyle name="20% - Accent2 9 5 3 2" xfId="14485" xr:uid="{00000000-0005-0000-0000-0000FD0D0000}"/>
    <cellStyle name="20% - Accent2 9 5 3 3" xfId="22432" xr:uid="{00000000-0005-0000-0000-0000FE0D0000}"/>
    <cellStyle name="20% - Accent2 9 5 4" xfId="10949" xr:uid="{00000000-0005-0000-0000-0000FF0D0000}"/>
    <cellStyle name="20% - Accent2 9 5 5" xfId="18904" xr:uid="{00000000-0005-0000-0000-0000000E0000}"/>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3" xfId="23311" xr:uid="{00000000-0005-0000-0000-0000050E0000}"/>
    <cellStyle name="20% - Accent2 9 6 3" xfId="11827" xr:uid="{00000000-0005-0000-0000-0000060E0000}"/>
    <cellStyle name="20% - Accent2 9 6 4" xfId="19782" xr:uid="{00000000-0005-0000-0000-0000070E0000}"/>
    <cellStyle name="20% - Accent2 9 7" xfId="5622" xr:uid="{00000000-0005-0000-0000-0000080E0000}"/>
    <cellStyle name="20% - Accent2 9 7 2" xfId="13606" xr:uid="{00000000-0005-0000-0000-0000090E0000}"/>
    <cellStyle name="20% - Accent2 9 7 3" xfId="21554" xr:uid="{00000000-0005-0000-0000-00000A0E0000}"/>
    <cellStyle name="20% - Accent2 9 8" xfId="9175" xr:uid="{00000000-0005-0000-0000-00000B0E0000}"/>
    <cellStyle name="20% - Accent2 9 8 2" xfId="17133" xr:uid="{00000000-0005-0000-0000-00000C0E0000}"/>
    <cellStyle name="20% - Accent2 9 8 3" xfId="25077" xr:uid="{00000000-0005-0000-0000-00000D0E0000}"/>
    <cellStyle name="20% - Accent2 9 9" xfId="10071" xr:uid="{00000000-0005-0000-0000-00000E0E0000}"/>
    <cellStyle name="20% - Accent2 9_Exh G" xfId="2179" xr:uid="{00000000-0005-0000-0000-00000F0E0000}"/>
    <cellStyle name="20% - Accent3 10" xfId="127" xr:uid="{00000000-0005-0000-0000-0000100E0000}"/>
    <cellStyle name="20% - Accent3 10 10" xfId="18030" xr:uid="{00000000-0005-0000-0000-0000110E0000}"/>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3" xfId="24195" xr:uid="{00000000-0005-0000-0000-0000180E0000}"/>
    <cellStyle name="20% - Accent3 10 2 2 2 2 3" xfId="12711" xr:uid="{00000000-0005-0000-0000-0000190E0000}"/>
    <cellStyle name="20% - Accent3 10 2 2 2 2 4" xfId="20666" xr:uid="{00000000-0005-0000-0000-00001A0E0000}"/>
    <cellStyle name="20% - Accent3 10 2 2 2 3" xfId="6519" xr:uid="{00000000-0005-0000-0000-00001B0E0000}"/>
    <cellStyle name="20% - Accent3 10 2 2 2 3 2" xfId="14491" xr:uid="{00000000-0005-0000-0000-00001C0E0000}"/>
    <cellStyle name="20% - Accent3 10 2 2 2 3 3" xfId="22438" xr:uid="{00000000-0005-0000-0000-00001D0E0000}"/>
    <cellStyle name="20% - Accent3 10 2 2 2 4" xfId="10955" xr:uid="{00000000-0005-0000-0000-00001E0E0000}"/>
    <cellStyle name="20% - Accent3 10 2 2 2 5" xfId="18910" xr:uid="{00000000-0005-0000-0000-00001F0E0000}"/>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3" xfId="23317" xr:uid="{00000000-0005-0000-0000-0000240E0000}"/>
    <cellStyle name="20% - Accent3 10 2 2 3 3" xfId="11833" xr:uid="{00000000-0005-0000-0000-0000250E0000}"/>
    <cellStyle name="20% - Accent3 10 2 2 3 4" xfId="19788" xr:uid="{00000000-0005-0000-0000-0000260E0000}"/>
    <cellStyle name="20% - Accent3 10 2 2 4" xfId="5628" xr:uid="{00000000-0005-0000-0000-0000270E0000}"/>
    <cellStyle name="20% - Accent3 10 2 2 4 2" xfId="13612" xr:uid="{00000000-0005-0000-0000-0000280E0000}"/>
    <cellStyle name="20% - Accent3 10 2 2 4 3" xfId="21560" xr:uid="{00000000-0005-0000-0000-0000290E0000}"/>
    <cellStyle name="20% - Accent3 10 2 2 5" xfId="9181" xr:uid="{00000000-0005-0000-0000-00002A0E0000}"/>
    <cellStyle name="20% - Accent3 10 2 2 5 2" xfId="17139" xr:uid="{00000000-0005-0000-0000-00002B0E0000}"/>
    <cellStyle name="20% - Accent3 10 2 2 5 3" xfId="25083" xr:uid="{00000000-0005-0000-0000-00002C0E0000}"/>
    <cellStyle name="20% - Accent3 10 2 2 6" xfId="10077" xr:uid="{00000000-0005-0000-0000-00002D0E0000}"/>
    <cellStyle name="20% - Accent3 10 2 2 7" xfId="18032" xr:uid="{00000000-0005-0000-0000-00002E0E0000}"/>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3" xfId="24194" xr:uid="{00000000-0005-0000-0000-0000340E0000}"/>
    <cellStyle name="20% - Accent3 10 2 3 2 3" xfId="12710" xr:uid="{00000000-0005-0000-0000-0000350E0000}"/>
    <cellStyle name="20% - Accent3 10 2 3 2 4" xfId="20665" xr:uid="{00000000-0005-0000-0000-0000360E0000}"/>
    <cellStyle name="20% - Accent3 10 2 3 3" xfId="6518" xr:uid="{00000000-0005-0000-0000-0000370E0000}"/>
    <cellStyle name="20% - Accent3 10 2 3 3 2" xfId="14490" xr:uid="{00000000-0005-0000-0000-0000380E0000}"/>
    <cellStyle name="20% - Accent3 10 2 3 3 3" xfId="22437" xr:uid="{00000000-0005-0000-0000-0000390E0000}"/>
    <cellStyle name="20% - Accent3 10 2 3 4" xfId="10954" xr:uid="{00000000-0005-0000-0000-00003A0E0000}"/>
    <cellStyle name="20% - Accent3 10 2 3 5" xfId="18909" xr:uid="{00000000-0005-0000-0000-00003B0E0000}"/>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3" xfId="23316" xr:uid="{00000000-0005-0000-0000-0000400E0000}"/>
    <cellStyle name="20% - Accent3 10 2 4 3" xfId="11832" xr:uid="{00000000-0005-0000-0000-0000410E0000}"/>
    <cellStyle name="20% - Accent3 10 2 4 4" xfId="19787" xr:uid="{00000000-0005-0000-0000-0000420E0000}"/>
    <cellStyle name="20% - Accent3 10 2 5" xfId="5627" xr:uid="{00000000-0005-0000-0000-0000430E0000}"/>
    <cellStyle name="20% - Accent3 10 2 5 2" xfId="13611" xr:uid="{00000000-0005-0000-0000-0000440E0000}"/>
    <cellStyle name="20% - Accent3 10 2 5 3" xfId="21559" xr:uid="{00000000-0005-0000-0000-0000450E0000}"/>
    <cellStyle name="20% - Accent3 10 2 6" xfId="9180" xr:uid="{00000000-0005-0000-0000-0000460E0000}"/>
    <cellStyle name="20% - Accent3 10 2 6 2" xfId="17138" xr:uid="{00000000-0005-0000-0000-0000470E0000}"/>
    <cellStyle name="20% - Accent3 10 2 6 3" xfId="25082" xr:uid="{00000000-0005-0000-0000-0000480E0000}"/>
    <cellStyle name="20% - Accent3 10 2 7" xfId="10076" xr:uid="{00000000-0005-0000-0000-0000490E0000}"/>
    <cellStyle name="20% - Accent3 10 2 8" xfId="18031" xr:uid="{00000000-0005-0000-0000-00004A0E0000}"/>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3" xfId="24196" xr:uid="{00000000-0005-0000-0000-0000510E0000}"/>
    <cellStyle name="20% - Accent3 10 3 2 2 3" xfId="12712" xr:uid="{00000000-0005-0000-0000-0000520E0000}"/>
    <cellStyle name="20% - Accent3 10 3 2 2 4" xfId="20667" xr:uid="{00000000-0005-0000-0000-0000530E0000}"/>
    <cellStyle name="20% - Accent3 10 3 2 3" xfId="6520" xr:uid="{00000000-0005-0000-0000-0000540E0000}"/>
    <cellStyle name="20% - Accent3 10 3 2 3 2" xfId="14492" xr:uid="{00000000-0005-0000-0000-0000550E0000}"/>
    <cellStyle name="20% - Accent3 10 3 2 3 3" xfId="22439" xr:uid="{00000000-0005-0000-0000-0000560E0000}"/>
    <cellStyle name="20% - Accent3 10 3 2 4" xfId="10956" xr:uid="{00000000-0005-0000-0000-0000570E0000}"/>
    <cellStyle name="20% - Accent3 10 3 2 5" xfId="18911" xr:uid="{00000000-0005-0000-0000-0000580E000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3" xfId="23318" xr:uid="{00000000-0005-0000-0000-00005D0E0000}"/>
    <cellStyle name="20% - Accent3 10 3 3 3" xfId="11834" xr:uid="{00000000-0005-0000-0000-00005E0E0000}"/>
    <cellStyle name="20% - Accent3 10 3 3 4" xfId="19789" xr:uid="{00000000-0005-0000-0000-00005F0E0000}"/>
    <cellStyle name="20% - Accent3 10 3 4" xfId="5629" xr:uid="{00000000-0005-0000-0000-0000600E0000}"/>
    <cellStyle name="20% - Accent3 10 3 4 2" xfId="13613" xr:uid="{00000000-0005-0000-0000-0000610E0000}"/>
    <cellStyle name="20% - Accent3 10 3 4 3" xfId="21561" xr:uid="{00000000-0005-0000-0000-0000620E0000}"/>
    <cellStyle name="20% - Accent3 10 3 5" xfId="9182" xr:uid="{00000000-0005-0000-0000-0000630E0000}"/>
    <cellStyle name="20% - Accent3 10 3 5 2" xfId="17140" xr:uid="{00000000-0005-0000-0000-0000640E0000}"/>
    <cellStyle name="20% - Accent3 10 3 5 3" xfId="25084" xr:uid="{00000000-0005-0000-0000-0000650E0000}"/>
    <cellStyle name="20% - Accent3 10 3 6" xfId="10078" xr:uid="{00000000-0005-0000-0000-0000660E0000}"/>
    <cellStyle name="20% - Accent3 10 3 7" xfId="18033" xr:uid="{00000000-0005-0000-0000-0000670E0000}"/>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3" xfId="24193" xr:uid="{00000000-0005-0000-0000-00006E0E0000}"/>
    <cellStyle name="20% - Accent3 10 5 2 3" xfId="12709" xr:uid="{00000000-0005-0000-0000-00006F0E0000}"/>
    <cellStyle name="20% - Accent3 10 5 2 4" xfId="20664" xr:uid="{00000000-0005-0000-0000-0000700E0000}"/>
    <cellStyle name="20% - Accent3 10 5 3" xfId="6517" xr:uid="{00000000-0005-0000-0000-0000710E0000}"/>
    <cellStyle name="20% - Accent3 10 5 3 2" xfId="14489" xr:uid="{00000000-0005-0000-0000-0000720E0000}"/>
    <cellStyle name="20% - Accent3 10 5 3 3" xfId="22436" xr:uid="{00000000-0005-0000-0000-0000730E0000}"/>
    <cellStyle name="20% - Accent3 10 5 4" xfId="10953" xr:uid="{00000000-0005-0000-0000-0000740E0000}"/>
    <cellStyle name="20% - Accent3 10 5 5" xfId="18908" xr:uid="{00000000-0005-0000-0000-0000750E0000}"/>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3" xfId="23315" xr:uid="{00000000-0005-0000-0000-00007A0E0000}"/>
    <cellStyle name="20% - Accent3 10 6 3" xfId="11831" xr:uid="{00000000-0005-0000-0000-00007B0E0000}"/>
    <cellStyle name="20% - Accent3 10 6 4" xfId="19786" xr:uid="{00000000-0005-0000-0000-00007C0E0000}"/>
    <cellStyle name="20% - Accent3 10 7" xfId="5626" xr:uid="{00000000-0005-0000-0000-00007D0E0000}"/>
    <cellStyle name="20% - Accent3 10 7 2" xfId="13610" xr:uid="{00000000-0005-0000-0000-00007E0E0000}"/>
    <cellStyle name="20% - Accent3 10 7 3" xfId="21558" xr:uid="{00000000-0005-0000-0000-00007F0E0000}"/>
    <cellStyle name="20% - Accent3 10 8" xfId="9179" xr:uid="{00000000-0005-0000-0000-0000800E0000}"/>
    <cellStyle name="20% - Accent3 10 8 2" xfId="17137" xr:uid="{00000000-0005-0000-0000-0000810E0000}"/>
    <cellStyle name="20% - Accent3 10 8 3" xfId="25081" xr:uid="{00000000-0005-0000-0000-0000820E0000}"/>
    <cellStyle name="20% - Accent3 10 9" xfId="10075" xr:uid="{00000000-0005-0000-0000-0000830E0000}"/>
    <cellStyle name="20% - Accent3 10_Exh G" xfId="2189" xr:uid="{00000000-0005-0000-0000-0000840E0000}"/>
    <cellStyle name="20% - Accent3 11" xfId="131" xr:uid="{00000000-0005-0000-0000-0000850E0000}"/>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3" xfId="24199" xr:uid="{00000000-0005-0000-0000-00008C0E0000}"/>
    <cellStyle name="20% - Accent3 11 2 2 2 2 3" xfId="12715" xr:uid="{00000000-0005-0000-0000-00008D0E0000}"/>
    <cellStyle name="20% - Accent3 11 2 2 2 2 4" xfId="20670" xr:uid="{00000000-0005-0000-0000-00008E0E0000}"/>
    <cellStyle name="20% - Accent3 11 2 2 2 3" xfId="6523" xr:uid="{00000000-0005-0000-0000-00008F0E0000}"/>
    <cellStyle name="20% - Accent3 11 2 2 2 3 2" xfId="14495" xr:uid="{00000000-0005-0000-0000-0000900E0000}"/>
    <cellStyle name="20% - Accent3 11 2 2 2 3 3" xfId="22442" xr:uid="{00000000-0005-0000-0000-0000910E0000}"/>
    <cellStyle name="20% - Accent3 11 2 2 2 4" xfId="10959" xr:uid="{00000000-0005-0000-0000-0000920E0000}"/>
    <cellStyle name="20% - Accent3 11 2 2 2 5" xfId="18914" xr:uid="{00000000-0005-0000-0000-0000930E000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3" xfId="23321" xr:uid="{00000000-0005-0000-0000-0000980E0000}"/>
    <cellStyle name="20% - Accent3 11 2 2 3 3" xfId="11837" xr:uid="{00000000-0005-0000-0000-0000990E0000}"/>
    <cellStyle name="20% - Accent3 11 2 2 3 4" xfId="19792" xr:uid="{00000000-0005-0000-0000-00009A0E0000}"/>
    <cellStyle name="20% - Accent3 11 2 2 4" xfId="5632" xr:uid="{00000000-0005-0000-0000-00009B0E0000}"/>
    <cellStyle name="20% - Accent3 11 2 2 4 2" xfId="13616" xr:uid="{00000000-0005-0000-0000-00009C0E0000}"/>
    <cellStyle name="20% - Accent3 11 2 2 4 3" xfId="21564" xr:uid="{00000000-0005-0000-0000-00009D0E0000}"/>
    <cellStyle name="20% - Accent3 11 2 2 5" xfId="9185" xr:uid="{00000000-0005-0000-0000-00009E0E0000}"/>
    <cellStyle name="20% - Accent3 11 2 2 5 2" xfId="17143" xr:uid="{00000000-0005-0000-0000-00009F0E0000}"/>
    <cellStyle name="20% - Accent3 11 2 2 5 3" xfId="25087" xr:uid="{00000000-0005-0000-0000-0000A00E0000}"/>
    <cellStyle name="20% - Accent3 11 2 2 6" xfId="10081" xr:uid="{00000000-0005-0000-0000-0000A10E0000}"/>
    <cellStyle name="20% - Accent3 11 2 2 7" xfId="18036" xr:uid="{00000000-0005-0000-0000-0000A20E0000}"/>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3" xfId="24198" xr:uid="{00000000-0005-0000-0000-0000A80E0000}"/>
    <cellStyle name="20% - Accent3 11 2 3 2 3" xfId="12714" xr:uid="{00000000-0005-0000-0000-0000A90E0000}"/>
    <cellStyle name="20% - Accent3 11 2 3 2 4" xfId="20669" xr:uid="{00000000-0005-0000-0000-0000AA0E0000}"/>
    <cellStyle name="20% - Accent3 11 2 3 3" xfId="6522" xr:uid="{00000000-0005-0000-0000-0000AB0E0000}"/>
    <cellStyle name="20% - Accent3 11 2 3 3 2" xfId="14494" xr:uid="{00000000-0005-0000-0000-0000AC0E0000}"/>
    <cellStyle name="20% - Accent3 11 2 3 3 3" xfId="22441" xr:uid="{00000000-0005-0000-0000-0000AD0E0000}"/>
    <cellStyle name="20% - Accent3 11 2 3 4" xfId="10958" xr:uid="{00000000-0005-0000-0000-0000AE0E0000}"/>
    <cellStyle name="20% - Accent3 11 2 3 5" xfId="18913" xr:uid="{00000000-0005-0000-0000-0000AF0E0000}"/>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3" xfId="23320" xr:uid="{00000000-0005-0000-0000-0000B40E0000}"/>
    <cellStyle name="20% - Accent3 11 2 4 3" xfId="11836" xr:uid="{00000000-0005-0000-0000-0000B50E0000}"/>
    <cellStyle name="20% - Accent3 11 2 4 4" xfId="19791" xr:uid="{00000000-0005-0000-0000-0000B60E0000}"/>
    <cellStyle name="20% - Accent3 11 2 5" xfId="5631" xr:uid="{00000000-0005-0000-0000-0000B70E0000}"/>
    <cellStyle name="20% - Accent3 11 2 5 2" xfId="13615" xr:uid="{00000000-0005-0000-0000-0000B80E0000}"/>
    <cellStyle name="20% - Accent3 11 2 5 3" xfId="21563" xr:uid="{00000000-0005-0000-0000-0000B90E0000}"/>
    <cellStyle name="20% - Accent3 11 2 6" xfId="9184" xr:uid="{00000000-0005-0000-0000-0000BA0E0000}"/>
    <cellStyle name="20% - Accent3 11 2 6 2" xfId="17142" xr:uid="{00000000-0005-0000-0000-0000BB0E0000}"/>
    <cellStyle name="20% - Accent3 11 2 6 3" xfId="25086" xr:uid="{00000000-0005-0000-0000-0000BC0E0000}"/>
    <cellStyle name="20% - Accent3 11 2 7" xfId="10080" xr:uid="{00000000-0005-0000-0000-0000BD0E0000}"/>
    <cellStyle name="20% - Accent3 11 2 8" xfId="18035" xr:uid="{00000000-0005-0000-0000-0000BE0E000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3" xfId="24200" xr:uid="{00000000-0005-0000-0000-0000C50E0000}"/>
    <cellStyle name="20% - Accent3 11 3 2 2 3" xfId="12716" xr:uid="{00000000-0005-0000-0000-0000C60E0000}"/>
    <cellStyle name="20% - Accent3 11 3 2 2 4" xfId="20671" xr:uid="{00000000-0005-0000-0000-0000C70E0000}"/>
    <cellStyle name="20% - Accent3 11 3 2 3" xfId="6524" xr:uid="{00000000-0005-0000-0000-0000C80E0000}"/>
    <cellStyle name="20% - Accent3 11 3 2 3 2" xfId="14496" xr:uid="{00000000-0005-0000-0000-0000C90E0000}"/>
    <cellStyle name="20% - Accent3 11 3 2 3 3" xfId="22443" xr:uid="{00000000-0005-0000-0000-0000CA0E0000}"/>
    <cellStyle name="20% - Accent3 11 3 2 4" xfId="10960" xr:uid="{00000000-0005-0000-0000-0000CB0E0000}"/>
    <cellStyle name="20% - Accent3 11 3 2 5" xfId="18915" xr:uid="{00000000-0005-0000-0000-0000CC0E0000}"/>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3" xfId="23322" xr:uid="{00000000-0005-0000-0000-0000D10E0000}"/>
    <cellStyle name="20% - Accent3 11 3 3 3" xfId="11838" xr:uid="{00000000-0005-0000-0000-0000D20E0000}"/>
    <cellStyle name="20% - Accent3 11 3 3 4" xfId="19793" xr:uid="{00000000-0005-0000-0000-0000D30E0000}"/>
    <cellStyle name="20% - Accent3 11 3 4" xfId="5633" xr:uid="{00000000-0005-0000-0000-0000D40E0000}"/>
    <cellStyle name="20% - Accent3 11 3 4 2" xfId="13617" xr:uid="{00000000-0005-0000-0000-0000D50E0000}"/>
    <cellStyle name="20% - Accent3 11 3 4 3" xfId="21565" xr:uid="{00000000-0005-0000-0000-0000D60E0000}"/>
    <cellStyle name="20% - Accent3 11 3 5" xfId="9186" xr:uid="{00000000-0005-0000-0000-0000D70E0000}"/>
    <cellStyle name="20% - Accent3 11 3 5 2" xfId="17144" xr:uid="{00000000-0005-0000-0000-0000D80E0000}"/>
    <cellStyle name="20% - Accent3 11 3 5 3" xfId="25088" xr:uid="{00000000-0005-0000-0000-0000D90E0000}"/>
    <cellStyle name="20% - Accent3 11 3 6" xfId="10082" xr:uid="{00000000-0005-0000-0000-0000DA0E0000}"/>
    <cellStyle name="20% - Accent3 11 3 7" xfId="18037" xr:uid="{00000000-0005-0000-0000-0000DB0E0000}"/>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3" xfId="24197" xr:uid="{00000000-0005-0000-0000-0000E10E0000}"/>
    <cellStyle name="20% - Accent3 11 4 2 3" xfId="12713" xr:uid="{00000000-0005-0000-0000-0000E20E0000}"/>
    <cellStyle name="20% - Accent3 11 4 2 4" xfId="20668" xr:uid="{00000000-0005-0000-0000-0000E30E0000}"/>
    <cellStyle name="20% - Accent3 11 4 3" xfId="6521" xr:uid="{00000000-0005-0000-0000-0000E40E0000}"/>
    <cellStyle name="20% - Accent3 11 4 3 2" xfId="14493" xr:uid="{00000000-0005-0000-0000-0000E50E0000}"/>
    <cellStyle name="20% - Accent3 11 4 3 3" xfId="22440" xr:uid="{00000000-0005-0000-0000-0000E60E0000}"/>
    <cellStyle name="20% - Accent3 11 4 4" xfId="10957" xr:uid="{00000000-0005-0000-0000-0000E70E0000}"/>
    <cellStyle name="20% - Accent3 11 4 5" xfId="18912" xr:uid="{00000000-0005-0000-0000-0000E80E0000}"/>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3" xfId="23319" xr:uid="{00000000-0005-0000-0000-0000ED0E0000}"/>
    <cellStyle name="20% - Accent3 11 5 3" xfId="11835" xr:uid="{00000000-0005-0000-0000-0000EE0E0000}"/>
    <cellStyle name="20% - Accent3 11 5 4" xfId="19790" xr:uid="{00000000-0005-0000-0000-0000EF0E0000}"/>
    <cellStyle name="20% - Accent3 11 6" xfId="5630" xr:uid="{00000000-0005-0000-0000-0000F00E0000}"/>
    <cellStyle name="20% - Accent3 11 6 2" xfId="13614" xr:uid="{00000000-0005-0000-0000-0000F10E0000}"/>
    <cellStyle name="20% - Accent3 11 6 3" xfId="21562" xr:uid="{00000000-0005-0000-0000-0000F20E0000}"/>
    <cellStyle name="20% - Accent3 11 7" xfId="9183" xr:uid="{00000000-0005-0000-0000-0000F30E0000}"/>
    <cellStyle name="20% - Accent3 11 7 2" xfId="17141" xr:uid="{00000000-0005-0000-0000-0000F40E0000}"/>
    <cellStyle name="20% - Accent3 11 7 3" xfId="25085" xr:uid="{00000000-0005-0000-0000-0000F50E0000}"/>
    <cellStyle name="20% - Accent3 11 8" xfId="10079" xr:uid="{00000000-0005-0000-0000-0000F60E0000}"/>
    <cellStyle name="20% - Accent3 11 9" xfId="18034" xr:uid="{00000000-0005-0000-0000-0000F70E0000}"/>
    <cellStyle name="20% - Accent3 11_Exh G" xfId="2197" xr:uid="{00000000-0005-0000-0000-0000F80E0000}"/>
    <cellStyle name="20% - Accent3 12" xfId="135" xr:uid="{00000000-0005-0000-0000-0000F90E0000}"/>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3" xfId="24203" xr:uid="{00000000-0005-0000-0000-0000000F0000}"/>
    <cellStyle name="20% - Accent3 12 2 2 2 2 3" xfId="12719" xr:uid="{00000000-0005-0000-0000-0000010F0000}"/>
    <cellStyle name="20% - Accent3 12 2 2 2 2 4" xfId="20674" xr:uid="{00000000-0005-0000-0000-0000020F0000}"/>
    <cellStyle name="20% - Accent3 12 2 2 2 3" xfId="6527" xr:uid="{00000000-0005-0000-0000-0000030F0000}"/>
    <cellStyle name="20% - Accent3 12 2 2 2 3 2" xfId="14499" xr:uid="{00000000-0005-0000-0000-0000040F0000}"/>
    <cellStyle name="20% - Accent3 12 2 2 2 3 3" xfId="22446" xr:uid="{00000000-0005-0000-0000-0000050F0000}"/>
    <cellStyle name="20% - Accent3 12 2 2 2 4" xfId="10963" xr:uid="{00000000-0005-0000-0000-0000060F0000}"/>
    <cellStyle name="20% - Accent3 12 2 2 2 5" xfId="18918" xr:uid="{00000000-0005-0000-0000-0000070F0000}"/>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3" xfId="23325" xr:uid="{00000000-0005-0000-0000-00000C0F0000}"/>
    <cellStyle name="20% - Accent3 12 2 2 3 3" xfId="11841" xr:uid="{00000000-0005-0000-0000-00000D0F0000}"/>
    <cellStyle name="20% - Accent3 12 2 2 3 4" xfId="19796" xr:uid="{00000000-0005-0000-0000-00000E0F0000}"/>
    <cellStyle name="20% - Accent3 12 2 2 4" xfId="5636" xr:uid="{00000000-0005-0000-0000-00000F0F0000}"/>
    <cellStyle name="20% - Accent3 12 2 2 4 2" xfId="13620" xr:uid="{00000000-0005-0000-0000-0000100F0000}"/>
    <cellStyle name="20% - Accent3 12 2 2 4 3" xfId="21568" xr:uid="{00000000-0005-0000-0000-0000110F0000}"/>
    <cellStyle name="20% - Accent3 12 2 2 5" xfId="9189" xr:uid="{00000000-0005-0000-0000-0000120F0000}"/>
    <cellStyle name="20% - Accent3 12 2 2 5 2" xfId="17147" xr:uid="{00000000-0005-0000-0000-0000130F0000}"/>
    <cellStyle name="20% - Accent3 12 2 2 5 3" xfId="25091" xr:uid="{00000000-0005-0000-0000-0000140F0000}"/>
    <cellStyle name="20% - Accent3 12 2 2 6" xfId="10085" xr:uid="{00000000-0005-0000-0000-0000150F0000}"/>
    <cellStyle name="20% - Accent3 12 2 2 7" xfId="18040" xr:uid="{00000000-0005-0000-0000-0000160F0000}"/>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3" xfId="24202" xr:uid="{00000000-0005-0000-0000-00001C0F0000}"/>
    <cellStyle name="20% - Accent3 12 2 3 2 3" xfId="12718" xr:uid="{00000000-0005-0000-0000-00001D0F0000}"/>
    <cellStyle name="20% - Accent3 12 2 3 2 4" xfId="20673" xr:uid="{00000000-0005-0000-0000-00001E0F0000}"/>
    <cellStyle name="20% - Accent3 12 2 3 3" xfId="6526" xr:uid="{00000000-0005-0000-0000-00001F0F0000}"/>
    <cellStyle name="20% - Accent3 12 2 3 3 2" xfId="14498" xr:uid="{00000000-0005-0000-0000-0000200F0000}"/>
    <cellStyle name="20% - Accent3 12 2 3 3 3" xfId="22445" xr:uid="{00000000-0005-0000-0000-0000210F0000}"/>
    <cellStyle name="20% - Accent3 12 2 3 4" xfId="10962" xr:uid="{00000000-0005-0000-0000-0000220F0000}"/>
    <cellStyle name="20% - Accent3 12 2 3 5" xfId="18917" xr:uid="{00000000-0005-0000-0000-0000230F0000}"/>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3" xfId="23324" xr:uid="{00000000-0005-0000-0000-0000280F0000}"/>
    <cellStyle name="20% - Accent3 12 2 4 3" xfId="11840" xr:uid="{00000000-0005-0000-0000-0000290F0000}"/>
    <cellStyle name="20% - Accent3 12 2 4 4" xfId="19795" xr:uid="{00000000-0005-0000-0000-00002A0F0000}"/>
    <cellStyle name="20% - Accent3 12 2 5" xfId="5635" xr:uid="{00000000-0005-0000-0000-00002B0F0000}"/>
    <cellStyle name="20% - Accent3 12 2 5 2" xfId="13619" xr:uid="{00000000-0005-0000-0000-00002C0F0000}"/>
    <cellStyle name="20% - Accent3 12 2 5 3" xfId="21567" xr:uid="{00000000-0005-0000-0000-00002D0F0000}"/>
    <cellStyle name="20% - Accent3 12 2 6" xfId="9188" xr:uid="{00000000-0005-0000-0000-00002E0F0000}"/>
    <cellStyle name="20% - Accent3 12 2 6 2" xfId="17146" xr:uid="{00000000-0005-0000-0000-00002F0F0000}"/>
    <cellStyle name="20% - Accent3 12 2 6 3" xfId="25090" xr:uid="{00000000-0005-0000-0000-0000300F0000}"/>
    <cellStyle name="20% - Accent3 12 2 7" xfId="10084" xr:uid="{00000000-0005-0000-0000-0000310F0000}"/>
    <cellStyle name="20% - Accent3 12 2 8" xfId="18039" xr:uid="{00000000-0005-0000-0000-0000320F0000}"/>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3" xfId="24204" xr:uid="{00000000-0005-0000-0000-0000390F0000}"/>
    <cellStyle name="20% - Accent3 12 3 2 2 3" xfId="12720" xr:uid="{00000000-0005-0000-0000-00003A0F0000}"/>
    <cellStyle name="20% - Accent3 12 3 2 2 4" xfId="20675" xr:uid="{00000000-0005-0000-0000-00003B0F0000}"/>
    <cellStyle name="20% - Accent3 12 3 2 3" xfId="6528" xr:uid="{00000000-0005-0000-0000-00003C0F0000}"/>
    <cellStyle name="20% - Accent3 12 3 2 3 2" xfId="14500" xr:uid="{00000000-0005-0000-0000-00003D0F0000}"/>
    <cellStyle name="20% - Accent3 12 3 2 3 3" xfId="22447" xr:uid="{00000000-0005-0000-0000-00003E0F0000}"/>
    <cellStyle name="20% - Accent3 12 3 2 4" xfId="10964" xr:uid="{00000000-0005-0000-0000-00003F0F0000}"/>
    <cellStyle name="20% - Accent3 12 3 2 5" xfId="18919" xr:uid="{00000000-0005-0000-0000-0000400F0000}"/>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3" xfId="23326" xr:uid="{00000000-0005-0000-0000-0000450F0000}"/>
    <cellStyle name="20% - Accent3 12 3 3 3" xfId="11842" xr:uid="{00000000-0005-0000-0000-0000460F0000}"/>
    <cellStyle name="20% - Accent3 12 3 3 4" xfId="19797" xr:uid="{00000000-0005-0000-0000-0000470F0000}"/>
    <cellStyle name="20% - Accent3 12 3 4" xfId="5637" xr:uid="{00000000-0005-0000-0000-0000480F0000}"/>
    <cellStyle name="20% - Accent3 12 3 4 2" xfId="13621" xr:uid="{00000000-0005-0000-0000-0000490F0000}"/>
    <cellStyle name="20% - Accent3 12 3 4 3" xfId="21569" xr:uid="{00000000-0005-0000-0000-00004A0F0000}"/>
    <cellStyle name="20% - Accent3 12 3 5" xfId="9190" xr:uid="{00000000-0005-0000-0000-00004B0F0000}"/>
    <cellStyle name="20% - Accent3 12 3 5 2" xfId="17148" xr:uid="{00000000-0005-0000-0000-00004C0F0000}"/>
    <cellStyle name="20% - Accent3 12 3 5 3" xfId="25092" xr:uid="{00000000-0005-0000-0000-00004D0F0000}"/>
    <cellStyle name="20% - Accent3 12 3 6" xfId="10086" xr:uid="{00000000-0005-0000-0000-00004E0F0000}"/>
    <cellStyle name="20% - Accent3 12 3 7" xfId="18041" xr:uid="{00000000-0005-0000-0000-00004F0F0000}"/>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3" xfId="24201" xr:uid="{00000000-0005-0000-0000-0000550F0000}"/>
    <cellStyle name="20% - Accent3 12 4 2 3" xfId="12717" xr:uid="{00000000-0005-0000-0000-0000560F0000}"/>
    <cellStyle name="20% - Accent3 12 4 2 4" xfId="20672" xr:uid="{00000000-0005-0000-0000-0000570F0000}"/>
    <cellStyle name="20% - Accent3 12 4 3" xfId="6525" xr:uid="{00000000-0005-0000-0000-0000580F0000}"/>
    <cellStyle name="20% - Accent3 12 4 3 2" xfId="14497" xr:uid="{00000000-0005-0000-0000-0000590F0000}"/>
    <cellStyle name="20% - Accent3 12 4 3 3" xfId="22444" xr:uid="{00000000-0005-0000-0000-00005A0F0000}"/>
    <cellStyle name="20% - Accent3 12 4 4" xfId="10961" xr:uid="{00000000-0005-0000-0000-00005B0F0000}"/>
    <cellStyle name="20% - Accent3 12 4 5" xfId="18916" xr:uid="{00000000-0005-0000-0000-00005C0F0000}"/>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3" xfId="23323" xr:uid="{00000000-0005-0000-0000-0000610F0000}"/>
    <cellStyle name="20% - Accent3 12 5 3" xfId="11839" xr:uid="{00000000-0005-0000-0000-0000620F0000}"/>
    <cellStyle name="20% - Accent3 12 5 4" xfId="19794" xr:uid="{00000000-0005-0000-0000-0000630F0000}"/>
    <cellStyle name="20% - Accent3 12 6" xfId="5634" xr:uid="{00000000-0005-0000-0000-0000640F0000}"/>
    <cellStyle name="20% - Accent3 12 6 2" xfId="13618" xr:uid="{00000000-0005-0000-0000-0000650F0000}"/>
    <cellStyle name="20% - Accent3 12 6 3" xfId="21566" xr:uid="{00000000-0005-0000-0000-0000660F0000}"/>
    <cellStyle name="20% - Accent3 12 7" xfId="9187" xr:uid="{00000000-0005-0000-0000-0000670F0000}"/>
    <cellStyle name="20% - Accent3 12 7 2" xfId="17145" xr:uid="{00000000-0005-0000-0000-0000680F0000}"/>
    <cellStyle name="20% - Accent3 12 7 3" xfId="25089" xr:uid="{00000000-0005-0000-0000-0000690F0000}"/>
    <cellStyle name="20% - Accent3 12 8" xfId="10083" xr:uid="{00000000-0005-0000-0000-00006A0F0000}"/>
    <cellStyle name="20% - Accent3 12 9" xfId="18038" xr:uid="{00000000-0005-0000-0000-00006B0F0000}"/>
    <cellStyle name="20% - Accent3 12_Exh G" xfId="2205" xr:uid="{00000000-0005-0000-0000-00006C0F0000}"/>
    <cellStyle name="20% - Accent3 13" xfId="139" xr:uid="{00000000-0005-0000-0000-00006D0F0000}"/>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3" xfId="24207" xr:uid="{00000000-0005-0000-0000-0000740F0000}"/>
    <cellStyle name="20% - Accent3 13 2 2 2 2 3" xfId="12723" xr:uid="{00000000-0005-0000-0000-0000750F0000}"/>
    <cellStyle name="20% - Accent3 13 2 2 2 2 4" xfId="20678" xr:uid="{00000000-0005-0000-0000-0000760F0000}"/>
    <cellStyle name="20% - Accent3 13 2 2 2 3" xfId="6531" xr:uid="{00000000-0005-0000-0000-0000770F0000}"/>
    <cellStyle name="20% - Accent3 13 2 2 2 3 2" xfId="14503" xr:uid="{00000000-0005-0000-0000-0000780F0000}"/>
    <cellStyle name="20% - Accent3 13 2 2 2 3 3" xfId="22450" xr:uid="{00000000-0005-0000-0000-0000790F0000}"/>
    <cellStyle name="20% - Accent3 13 2 2 2 4" xfId="10967" xr:uid="{00000000-0005-0000-0000-00007A0F0000}"/>
    <cellStyle name="20% - Accent3 13 2 2 2 5" xfId="18922" xr:uid="{00000000-0005-0000-0000-00007B0F0000}"/>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3" xfId="23329" xr:uid="{00000000-0005-0000-0000-0000800F0000}"/>
    <cellStyle name="20% - Accent3 13 2 2 3 3" xfId="11845" xr:uid="{00000000-0005-0000-0000-0000810F0000}"/>
    <cellStyle name="20% - Accent3 13 2 2 3 4" xfId="19800" xr:uid="{00000000-0005-0000-0000-0000820F0000}"/>
    <cellStyle name="20% - Accent3 13 2 2 4" xfId="5640" xr:uid="{00000000-0005-0000-0000-0000830F0000}"/>
    <cellStyle name="20% - Accent3 13 2 2 4 2" xfId="13624" xr:uid="{00000000-0005-0000-0000-0000840F0000}"/>
    <cellStyle name="20% - Accent3 13 2 2 4 3" xfId="21572" xr:uid="{00000000-0005-0000-0000-0000850F0000}"/>
    <cellStyle name="20% - Accent3 13 2 2 5" xfId="9193" xr:uid="{00000000-0005-0000-0000-0000860F0000}"/>
    <cellStyle name="20% - Accent3 13 2 2 5 2" xfId="17151" xr:uid="{00000000-0005-0000-0000-0000870F0000}"/>
    <cellStyle name="20% - Accent3 13 2 2 5 3" xfId="25095" xr:uid="{00000000-0005-0000-0000-0000880F0000}"/>
    <cellStyle name="20% - Accent3 13 2 2 6" xfId="10089" xr:uid="{00000000-0005-0000-0000-0000890F0000}"/>
    <cellStyle name="20% - Accent3 13 2 2 7" xfId="18044" xr:uid="{00000000-0005-0000-0000-00008A0F0000}"/>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3" xfId="24206" xr:uid="{00000000-0005-0000-0000-0000900F0000}"/>
    <cellStyle name="20% - Accent3 13 2 3 2 3" xfId="12722" xr:uid="{00000000-0005-0000-0000-0000910F0000}"/>
    <cellStyle name="20% - Accent3 13 2 3 2 4" xfId="20677" xr:uid="{00000000-0005-0000-0000-0000920F0000}"/>
    <cellStyle name="20% - Accent3 13 2 3 3" xfId="6530" xr:uid="{00000000-0005-0000-0000-0000930F0000}"/>
    <cellStyle name="20% - Accent3 13 2 3 3 2" xfId="14502" xr:uid="{00000000-0005-0000-0000-0000940F0000}"/>
    <cellStyle name="20% - Accent3 13 2 3 3 3" xfId="22449" xr:uid="{00000000-0005-0000-0000-0000950F0000}"/>
    <cellStyle name="20% - Accent3 13 2 3 4" xfId="10966" xr:uid="{00000000-0005-0000-0000-0000960F0000}"/>
    <cellStyle name="20% - Accent3 13 2 3 5" xfId="18921" xr:uid="{00000000-0005-0000-0000-0000970F0000}"/>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3" xfId="23328" xr:uid="{00000000-0005-0000-0000-00009C0F0000}"/>
    <cellStyle name="20% - Accent3 13 2 4 3" xfId="11844" xr:uid="{00000000-0005-0000-0000-00009D0F0000}"/>
    <cellStyle name="20% - Accent3 13 2 4 4" xfId="19799" xr:uid="{00000000-0005-0000-0000-00009E0F0000}"/>
    <cellStyle name="20% - Accent3 13 2 5" xfId="5639" xr:uid="{00000000-0005-0000-0000-00009F0F0000}"/>
    <cellStyle name="20% - Accent3 13 2 5 2" xfId="13623" xr:uid="{00000000-0005-0000-0000-0000A00F0000}"/>
    <cellStyle name="20% - Accent3 13 2 5 3" xfId="21571" xr:uid="{00000000-0005-0000-0000-0000A10F0000}"/>
    <cellStyle name="20% - Accent3 13 2 6" xfId="9192" xr:uid="{00000000-0005-0000-0000-0000A20F0000}"/>
    <cellStyle name="20% - Accent3 13 2 6 2" xfId="17150" xr:uid="{00000000-0005-0000-0000-0000A30F0000}"/>
    <cellStyle name="20% - Accent3 13 2 6 3" xfId="25094" xr:uid="{00000000-0005-0000-0000-0000A40F0000}"/>
    <cellStyle name="20% - Accent3 13 2 7" xfId="10088" xr:uid="{00000000-0005-0000-0000-0000A50F0000}"/>
    <cellStyle name="20% - Accent3 13 2 8" xfId="18043" xr:uid="{00000000-0005-0000-0000-0000A60F0000}"/>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3" xfId="24208" xr:uid="{00000000-0005-0000-0000-0000AD0F0000}"/>
    <cellStyle name="20% - Accent3 13 3 2 2 3" xfId="12724" xr:uid="{00000000-0005-0000-0000-0000AE0F0000}"/>
    <cellStyle name="20% - Accent3 13 3 2 2 4" xfId="20679" xr:uid="{00000000-0005-0000-0000-0000AF0F0000}"/>
    <cellStyle name="20% - Accent3 13 3 2 3" xfId="6532" xr:uid="{00000000-0005-0000-0000-0000B00F0000}"/>
    <cellStyle name="20% - Accent3 13 3 2 3 2" xfId="14504" xr:uid="{00000000-0005-0000-0000-0000B10F0000}"/>
    <cellStyle name="20% - Accent3 13 3 2 3 3" xfId="22451" xr:uid="{00000000-0005-0000-0000-0000B20F0000}"/>
    <cellStyle name="20% - Accent3 13 3 2 4" xfId="10968" xr:uid="{00000000-0005-0000-0000-0000B30F0000}"/>
    <cellStyle name="20% - Accent3 13 3 2 5" xfId="18923" xr:uid="{00000000-0005-0000-0000-0000B40F0000}"/>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3" xfId="23330" xr:uid="{00000000-0005-0000-0000-0000B90F0000}"/>
    <cellStyle name="20% - Accent3 13 3 3 3" xfId="11846" xr:uid="{00000000-0005-0000-0000-0000BA0F0000}"/>
    <cellStyle name="20% - Accent3 13 3 3 4" xfId="19801" xr:uid="{00000000-0005-0000-0000-0000BB0F0000}"/>
    <cellStyle name="20% - Accent3 13 3 4" xfId="5641" xr:uid="{00000000-0005-0000-0000-0000BC0F0000}"/>
    <cellStyle name="20% - Accent3 13 3 4 2" xfId="13625" xr:uid="{00000000-0005-0000-0000-0000BD0F0000}"/>
    <cellStyle name="20% - Accent3 13 3 4 3" xfId="21573" xr:uid="{00000000-0005-0000-0000-0000BE0F0000}"/>
    <cellStyle name="20% - Accent3 13 3 5" xfId="9194" xr:uid="{00000000-0005-0000-0000-0000BF0F0000}"/>
    <cellStyle name="20% - Accent3 13 3 5 2" xfId="17152" xr:uid="{00000000-0005-0000-0000-0000C00F0000}"/>
    <cellStyle name="20% - Accent3 13 3 5 3" xfId="25096" xr:uid="{00000000-0005-0000-0000-0000C10F0000}"/>
    <cellStyle name="20% - Accent3 13 3 6" xfId="10090" xr:uid="{00000000-0005-0000-0000-0000C20F0000}"/>
    <cellStyle name="20% - Accent3 13 3 7" xfId="18045" xr:uid="{00000000-0005-0000-0000-0000C30F0000}"/>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3" xfId="24205" xr:uid="{00000000-0005-0000-0000-0000C90F0000}"/>
    <cellStyle name="20% - Accent3 13 4 2 3" xfId="12721" xr:uid="{00000000-0005-0000-0000-0000CA0F0000}"/>
    <cellStyle name="20% - Accent3 13 4 2 4" xfId="20676" xr:uid="{00000000-0005-0000-0000-0000CB0F0000}"/>
    <cellStyle name="20% - Accent3 13 4 3" xfId="6529" xr:uid="{00000000-0005-0000-0000-0000CC0F0000}"/>
    <cellStyle name="20% - Accent3 13 4 3 2" xfId="14501" xr:uid="{00000000-0005-0000-0000-0000CD0F0000}"/>
    <cellStyle name="20% - Accent3 13 4 3 3" xfId="22448" xr:uid="{00000000-0005-0000-0000-0000CE0F0000}"/>
    <cellStyle name="20% - Accent3 13 4 4" xfId="10965" xr:uid="{00000000-0005-0000-0000-0000CF0F0000}"/>
    <cellStyle name="20% - Accent3 13 4 5" xfId="18920" xr:uid="{00000000-0005-0000-0000-0000D00F0000}"/>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3" xfId="23327" xr:uid="{00000000-0005-0000-0000-0000D50F0000}"/>
    <cellStyle name="20% - Accent3 13 5 3" xfId="11843" xr:uid="{00000000-0005-0000-0000-0000D60F0000}"/>
    <cellStyle name="20% - Accent3 13 5 4" xfId="19798" xr:uid="{00000000-0005-0000-0000-0000D70F0000}"/>
    <cellStyle name="20% - Accent3 13 6" xfId="5638" xr:uid="{00000000-0005-0000-0000-0000D80F0000}"/>
    <cellStyle name="20% - Accent3 13 6 2" xfId="13622" xr:uid="{00000000-0005-0000-0000-0000D90F0000}"/>
    <cellStyle name="20% - Accent3 13 6 3" xfId="21570" xr:uid="{00000000-0005-0000-0000-0000DA0F0000}"/>
    <cellStyle name="20% - Accent3 13 7" xfId="9191" xr:uid="{00000000-0005-0000-0000-0000DB0F0000}"/>
    <cellStyle name="20% - Accent3 13 7 2" xfId="17149" xr:uid="{00000000-0005-0000-0000-0000DC0F0000}"/>
    <cellStyle name="20% - Accent3 13 7 3" xfId="25093" xr:uid="{00000000-0005-0000-0000-0000DD0F0000}"/>
    <cellStyle name="20% - Accent3 13 8" xfId="10087" xr:uid="{00000000-0005-0000-0000-0000DE0F0000}"/>
    <cellStyle name="20% - Accent3 13 9" xfId="18042" xr:uid="{00000000-0005-0000-0000-0000DF0F0000}"/>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3" xfId="24210" xr:uid="{00000000-0005-0000-0000-0000E70F0000}"/>
    <cellStyle name="20% - Accent3 14 2 2 2 3" xfId="12726" xr:uid="{00000000-0005-0000-0000-0000E80F0000}"/>
    <cellStyle name="20% - Accent3 14 2 2 2 4" xfId="20681" xr:uid="{00000000-0005-0000-0000-0000E90F0000}"/>
    <cellStyle name="20% - Accent3 14 2 2 3" xfId="6534" xr:uid="{00000000-0005-0000-0000-0000EA0F0000}"/>
    <cellStyle name="20% - Accent3 14 2 2 3 2" xfId="14506" xr:uid="{00000000-0005-0000-0000-0000EB0F0000}"/>
    <cellStyle name="20% - Accent3 14 2 2 3 3" xfId="22453" xr:uid="{00000000-0005-0000-0000-0000EC0F0000}"/>
    <cellStyle name="20% - Accent3 14 2 2 4" xfId="10970" xr:uid="{00000000-0005-0000-0000-0000ED0F0000}"/>
    <cellStyle name="20% - Accent3 14 2 2 5" xfId="18925" xr:uid="{00000000-0005-0000-0000-0000EE0F0000}"/>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3" xfId="23332" xr:uid="{00000000-0005-0000-0000-0000F30F0000}"/>
    <cellStyle name="20% - Accent3 14 2 3 3" xfId="11848" xr:uid="{00000000-0005-0000-0000-0000F40F0000}"/>
    <cellStyle name="20% - Accent3 14 2 3 4" xfId="19803" xr:uid="{00000000-0005-0000-0000-0000F50F0000}"/>
    <cellStyle name="20% - Accent3 14 2 4" xfId="5643" xr:uid="{00000000-0005-0000-0000-0000F60F0000}"/>
    <cellStyle name="20% - Accent3 14 2 4 2" xfId="13627" xr:uid="{00000000-0005-0000-0000-0000F70F0000}"/>
    <cellStyle name="20% - Accent3 14 2 4 3" xfId="21575" xr:uid="{00000000-0005-0000-0000-0000F80F0000}"/>
    <cellStyle name="20% - Accent3 14 2 5" xfId="9196" xr:uid="{00000000-0005-0000-0000-0000F90F0000}"/>
    <cellStyle name="20% - Accent3 14 2 5 2" xfId="17154" xr:uid="{00000000-0005-0000-0000-0000FA0F0000}"/>
    <cellStyle name="20% - Accent3 14 2 5 3" xfId="25098" xr:uid="{00000000-0005-0000-0000-0000FB0F0000}"/>
    <cellStyle name="20% - Accent3 14 2 6" xfId="10092" xr:uid="{00000000-0005-0000-0000-0000FC0F0000}"/>
    <cellStyle name="20% - Accent3 14 2 7" xfId="18047" xr:uid="{00000000-0005-0000-0000-0000FD0F0000}"/>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3" xfId="24209" xr:uid="{00000000-0005-0000-0000-000003100000}"/>
    <cellStyle name="20% - Accent3 14 3 2 3" xfId="12725" xr:uid="{00000000-0005-0000-0000-000004100000}"/>
    <cellStyle name="20% - Accent3 14 3 2 4" xfId="20680" xr:uid="{00000000-0005-0000-0000-000005100000}"/>
    <cellStyle name="20% - Accent3 14 3 3" xfId="6533" xr:uid="{00000000-0005-0000-0000-000006100000}"/>
    <cellStyle name="20% - Accent3 14 3 3 2" xfId="14505" xr:uid="{00000000-0005-0000-0000-000007100000}"/>
    <cellStyle name="20% - Accent3 14 3 3 3" xfId="22452" xr:uid="{00000000-0005-0000-0000-000008100000}"/>
    <cellStyle name="20% - Accent3 14 3 4" xfId="10969" xr:uid="{00000000-0005-0000-0000-000009100000}"/>
    <cellStyle name="20% - Accent3 14 3 5" xfId="18924" xr:uid="{00000000-0005-0000-0000-00000A100000}"/>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3" xfId="23331" xr:uid="{00000000-0005-0000-0000-00000F100000}"/>
    <cellStyle name="20% - Accent3 14 4 3" xfId="11847" xr:uid="{00000000-0005-0000-0000-000010100000}"/>
    <cellStyle name="20% - Accent3 14 4 4" xfId="19802" xr:uid="{00000000-0005-0000-0000-000011100000}"/>
    <cellStyle name="20% - Accent3 14 5" xfId="5642" xr:uid="{00000000-0005-0000-0000-000012100000}"/>
    <cellStyle name="20% - Accent3 14 5 2" xfId="13626" xr:uid="{00000000-0005-0000-0000-000013100000}"/>
    <cellStyle name="20% - Accent3 14 5 3" xfId="21574" xr:uid="{00000000-0005-0000-0000-000014100000}"/>
    <cellStyle name="20% - Accent3 14 6" xfId="9195" xr:uid="{00000000-0005-0000-0000-000015100000}"/>
    <cellStyle name="20% - Accent3 14 6 2" xfId="17153" xr:uid="{00000000-0005-0000-0000-000016100000}"/>
    <cellStyle name="20% - Accent3 14 6 3" xfId="25097" xr:uid="{00000000-0005-0000-0000-000017100000}"/>
    <cellStyle name="20% - Accent3 14 7" xfId="10091" xr:uid="{00000000-0005-0000-0000-000018100000}"/>
    <cellStyle name="20% - Accent3 14 8" xfId="18046" xr:uid="{00000000-0005-0000-0000-000019100000}"/>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3" xfId="24211" xr:uid="{00000000-0005-0000-0000-000020100000}"/>
    <cellStyle name="20% - Accent3 15 2 2 3" xfId="12727" xr:uid="{00000000-0005-0000-0000-000021100000}"/>
    <cellStyle name="20% - Accent3 15 2 2 4" xfId="20682" xr:uid="{00000000-0005-0000-0000-000022100000}"/>
    <cellStyle name="20% - Accent3 15 2 3" xfId="6535" xr:uid="{00000000-0005-0000-0000-000023100000}"/>
    <cellStyle name="20% - Accent3 15 2 3 2" xfId="14507" xr:uid="{00000000-0005-0000-0000-000024100000}"/>
    <cellStyle name="20% - Accent3 15 2 3 3" xfId="22454" xr:uid="{00000000-0005-0000-0000-000025100000}"/>
    <cellStyle name="20% - Accent3 15 2 4" xfId="10971" xr:uid="{00000000-0005-0000-0000-000026100000}"/>
    <cellStyle name="20% - Accent3 15 2 5" xfId="18926" xr:uid="{00000000-0005-0000-0000-000027100000}"/>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3" xfId="23333" xr:uid="{00000000-0005-0000-0000-00002C100000}"/>
    <cellStyle name="20% - Accent3 15 3 3" xfId="11849" xr:uid="{00000000-0005-0000-0000-00002D100000}"/>
    <cellStyle name="20% - Accent3 15 3 4" xfId="19804" xr:uid="{00000000-0005-0000-0000-00002E100000}"/>
    <cellStyle name="20% - Accent3 15 4" xfId="5644" xr:uid="{00000000-0005-0000-0000-00002F100000}"/>
    <cellStyle name="20% - Accent3 15 4 2" xfId="13628" xr:uid="{00000000-0005-0000-0000-000030100000}"/>
    <cellStyle name="20% - Accent3 15 4 3" xfId="21576" xr:uid="{00000000-0005-0000-0000-000031100000}"/>
    <cellStyle name="20% - Accent3 15 5" xfId="9197" xr:uid="{00000000-0005-0000-0000-000032100000}"/>
    <cellStyle name="20% - Accent3 15 5 2" xfId="17155" xr:uid="{00000000-0005-0000-0000-000033100000}"/>
    <cellStyle name="20% - Accent3 15 5 3" xfId="25099" xr:uid="{00000000-0005-0000-0000-000034100000}"/>
    <cellStyle name="20% - Accent3 15 6" xfId="10093" xr:uid="{00000000-0005-0000-0000-000035100000}"/>
    <cellStyle name="20% - Accent3 15 7" xfId="18048" xr:uid="{00000000-0005-0000-0000-000036100000}"/>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3" xfId="24813" xr:uid="{00000000-0005-0000-0000-00003D100000}"/>
    <cellStyle name="20% - Accent3 16 2 2 3" xfId="13329" xr:uid="{00000000-0005-0000-0000-00003E100000}"/>
    <cellStyle name="20% - Accent3 16 2 2 4" xfId="21284" xr:uid="{00000000-0005-0000-0000-00003F100000}"/>
    <cellStyle name="20% - Accent3 16 2 3" xfId="7137" xr:uid="{00000000-0005-0000-0000-000040100000}"/>
    <cellStyle name="20% - Accent3 16 2 3 2" xfId="15109" xr:uid="{00000000-0005-0000-0000-000041100000}"/>
    <cellStyle name="20% - Accent3 16 2 3 3" xfId="23056" xr:uid="{00000000-0005-0000-0000-000042100000}"/>
    <cellStyle name="20% - Accent3 16 2 4" xfId="11573" xr:uid="{00000000-0005-0000-0000-000043100000}"/>
    <cellStyle name="20% - Accent3 16 2 5" xfId="19528" xr:uid="{00000000-0005-0000-0000-000044100000}"/>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3" xfId="23935" xr:uid="{00000000-0005-0000-0000-000049100000}"/>
    <cellStyle name="20% - Accent3 16 3 3" xfId="12451" xr:uid="{00000000-0005-0000-0000-00004A100000}"/>
    <cellStyle name="20% - Accent3 16 3 4" xfId="20406" xr:uid="{00000000-0005-0000-0000-00004B100000}"/>
    <cellStyle name="20% - Accent3 16 4" xfId="6256" xr:uid="{00000000-0005-0000-0000-00004C100000}"/>
    <cellStyle name="20% - Accent3 16 4 2" xfId="14231" xr:uid="{00000000-0005-0000-0000-00004D100000}"/>
    <cellStyle name="20% - Accent3 16 4 3" xfId="22178" xr:uid="{00000000-0005-0000-0000-00004E100000}"/>
    <cellStyle name="20% - Accent3 16 5" xfId="9799" xr:uid="{00000000-0005-0000-0000-00004F100000}"/>
    <cellStyle name="20% - Accent3 16 5 2" xfId="17757" xr:uid="{00000000-0005-0000-0000-000050100000}"/>
    <cellStyle name="20% - Accent3 16 5 3" xfId="25701" xr:uid="{00000000-0005-0000-0000-000051100000}"/>
    <cellStyle name="20% - Accent3 16 6" xfId="10695" xr:uid="{00000000-0005-0000-0000-000052100000}"/>
    <cellStyle name="20% - Accent3 16 7" xfId="18650" xr:uid="{00000000-0005-0000-0000-000053100000}"/>
    <cellStyle name="20% - Accent3 16_Exh G" xfId="2227" xr:uid="{00000000-0005-0000-0000-000054100000}"/>
    <cellStyle name="20% - Accent3 2" xfId="146" xr:uid="{00000000-0005-0000-0000-000055100000}"/>
    <cellStyle name="20% - Accent3 2 10" xfId="18049" xr:uid="{00000000-0005-0000-0000-000056100000}"/>
    <cellStyle name="20% - Accent3 2 2" xfId="147" xr:uid="{00000000-0005-0000-0000-000057100000}"/>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3" xfId="24214" xr:uid="{00000000-0005-0000-0000-00005D100000}"/>
    <cellStyle name="20% - Accent3 2 2 2 2 2 3" xfId="12730" xr:uid="{00000000-0005-0000-0000-00005E100000}"/>
    <cellStyle name="20% - Accent3 2 2 2 2 2 4" xfId="20685" xr:uid="{00000000-0005-0000-0000-00005F100000}"/>
    <cellStyle name="20% - Accent3 2 2 2 2 3" xfId="6538" xr:uid="{00000000-0005-0000-0000-000060100000}"/>
    <cellStyle name="20% - Accent3 2 2 2 2 3 2" xfId="14510" xr:uid="{00000000-0005-0000-0000-000061100000}"/>
    <cellStyle name="20% - Accent3 2 2 2 2 3 3" xfId="22457" xr:uid="{00000000-0005-0000-0000-000062100000}"/>
    <cellStyle name="20% - Accent3 2 2 2 2 4" xfId="10974" xr:uid="{00000000-0005-0000-0000-000063100000}"/>
    <cellStyle name="20% - Accent3 2 2 2 2 5" xfId="18929" xr:uid="{00000000-0005-0000-0000-000064100000}"/>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3" xfId="23336" xr:uid="{00000000-0005-0000-0000-000069100000}"/>
    <cellStyle name="20% - Accent3 2 2 2 3 3" xfId="11852" xr:uid="{00000000-0005-0000-0000-00006A100000}"/>
    <cellStyle name="20% - Accent3 2 2 2 3 4" xfId="19807" xr:uid="{00000000-0005-0000-0000-00006B100000}"/>
    <cellStyle name="20% - Accent3 2 2 2 4" xfId="5647" xr:uid="{00000000-0005-0000-0000-00006C100000}"/>
    <cellStyle name="20% - Accent3 2 2 2 4 2" xfId="13631" xr:uid="{00000000-0005-0000-0000-00006D100000}"/>
    <cellStyle name="20% - Accent3 2 2 2 4 3" xfId="21579" xr:uid="{00000000-0005-0000-0000-00006E100000}"/>
    <cellStyle name="20% - Accent3 2 2 2 5" xfId="9200" xr:uid="{00000000-0005-0000-0000-00006F100000}"/>
    <cellStyle name="20% - Accent3 2 2 2 5 2" xfId="17158" xr:uid="{00000000-0005-0000-0000-000070100000}"/>
    <cellStyle name="20% - Accent3 2 2 2 5 3" xfId="25102" xr:uid="{00000000-0005-0000-0000-000071100000}"/>
    <cellStyle name="20% - Accent3 2 2 2 6" xfId="10096" xr:uid="{00000000-0005-0000-0000-000072100000}"/>
    <cellStyle name="20% - Accent3 2 2 2 7" xfId="18051" xr:uid="{00000000-0005-0000-0000-000073100000}"/>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3" xfId="24846" xr:uid="{00000000-0005-0000-0000-00007A100000}"/>
    <cellStyle name="20% - Accent3 2 2 3 2 2 3" xfId="13362" xr:uid="{00000000-0005-0000-0000-00007B100000}"/>
    <cellStyle name="20% - Accent3 2 2 3 2 2 4" xfId="21317" xr:uid="{00000000-0005-0000-0000-00007C100000}"/>
    <cellStyle name="20% - Accent3 2 2 3 2 3" xfId="7170" xr:uid="{00000000-0005-0000-0000-00007D100000}"/>
    <cellStyle name="20% - Accent3 2 2 3 2 3 2" xfId="15142" xr:uid="{00000000-0005-0000-0000-00007E100000}"/>
    <cellStyle name="20% - Accent3 2 2 3 2 3 3" xfId="23089" xr:uid="{00000000-0005-0000-0000-00007F100000}"/>
    <cellStyle name="20% - Accent3 2 2 3 2 4" xfId="11606" xr:uid="{00000000-0005-0000-0000-000080100000}"/>
    <cellStyle name="20% - Accent3 2 2 3 2 5" xfId="19561" xr:uid="{00000000-0005-0000-0000-000081100000}"/>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3" xfId="23968" xr:uid="{00000000-0005-0000-0000-000086100000}"/>
    <cellStyle name="20% - Accent3 2 2 3 3 3" xfId="12484" xr:uid="{00000000-0005-0000-0000-000087100000}"/>
    <cellStyle name="20% - Accent3 2 2 3 3 4" xfId="20439" xr:uid="{00000000-0005-0000-0000-000088100000}"/>
    <cellStyle name="20% - Accent3 2 2 3 4" xfId="6289" xr:uid="{00000000-0005-0000-0000-000089100000}"/>
    <cellStyle name="20% - Accent3 2 2 3 4 2" xfId="14264" xr:uid="{00000000-0005-0000-0000-00008A100000}"/>
    <cellStyle name="20% - Accent3 2 2 3 4 3" xfId="22211" xr:uid="{00000000-0005-0000-0000-00008B100000}"/>
    <cellStyle name="20% - Accent3 2 2 3 5" xfId="9832" xr:uid="{00000000-0005-0000-0000-00008C100000}"/>
    <cellStyle name="20% - Accent3 2 2 3 5 2" xfId="17790" xr:uid="{00000000-0005-0000-0000-00008D100000}"/>
    <cellStyle name="20% - Accent3 2 2 3 5 3" xfId="25734" xr:uid="{00000000-0005-0000-0000-00008E100000}"/>
    <cellStyle name="20% - Accent3 2 2 3 6" xfId="10728" xr:uid="{00000000-0005-0000-0000-00008F100000}"/>
    <cellStyle name="20% - Accent3 2 2 3 7" xfId="18683" xr:uid="{00000000-0005-0000-0000-000090100000}"/>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3" xfId="24213" xr:uid="{00000000-0005-0000-0000-000096100000}"/>
    <cellStyle name="20% - Accent3 2 2 4 2 3" xfId="12729" xr:uid="{00000000-0005-0000-0000-000097100000}"/>
    <cellStyle name="20% - Accent3 2 2 4 2 4" xfId="20684" xr:uid="{00000000-0005-0000-0000-000098100000}"/>
    <cellStyle name="20% - Accent3 2 2 4 3" xfId="6537" xr:uid="{00000000-0005-0000-0000-000099100000}"/>
    <cellStyle name="20% - Accent3 2 2 4 3 2" xfId="14509" xr:uid="{00000000-0005-0000-0000-00009A100000}"/>
    <cellStyle name="20% - Accent3 2 2 4 3 3" xfId="22456" xr:uid="{00000000-0005-0000-0000-00009B100000}"/>
    <cellStyle name="20% - Accent3 2 2 4 4" xfId="10973" xr:uid="{00000000-0005-0000-0000-00009C100000}"/>
    <cellStyle name="20% - Accent3 2 2 4 5" xfId="18928" xr:uid="{00000000-0005-0000-0000-00009D100000}"/>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3" xfId="23335" xr:uid="{00000000-0005-0000-0000-0000A2100000}"/>
    <cellStyle name="20% - Accent3 2 2 5 3" xfId="11851" xr:uid="{00000000-0005-0000-0000-0000A3100000}"/>
    <cellStyle name="20% - Accent3 2 2 5 4" xfId="19806" xr:uid="{00000000-0005-0000-0000-0000A4100000}"/>
    <cellStyle name="20% - Accent3 2 2 6" xfId="5646" xr:uid="{00000000-0005-0000-0000-0000A5100000}"/>
    <cellStyle name="20% - Accent3 2 2 6 2" xfId="13630" xr:uid="{00000000-0005-0000-0000-0000A6100000}"/>
    <cellStyle name="20% - Accent3 2 2 6 3" xfId="21578" xr:uid="{00000000-0005-0000-0000-0000A7100000}"/>
    <cellStyle name="20% - Accent3 2 2 7" xfId="9199" xr:uid="{00000000-0005-0000-0000-0000A8100000}"/>
    <cellStyle name="20% - Accent3 2 2 7 2" xfId="17157" xr:uid="{00000000-0005-0000-0000-0000A9100000}"/>
    <cellStyle name="20% - Accent3 2 2 7 3" xfId="25101" xr:uid="{00000000-0005-0000-0000-0000AA100000}"/>
    <cellStyle name="20% - Accent3 2 2 8" xfId="10095" xr:uid="{00000000-0005-0000-0000-0000AB100000}"/>
    <cellStyle name="20% - Accent3 2 2 9" xfId="18050" xr:uid="{00000000-0005-0000-0000-0000AC100000}"/>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3" xfId="24215" xr:uid="{00000000-0005-0000-0000-0000B3100000}"/>
    <cellStyle name="20% - Accent3 2 3 2 2 3" xfId="12731" xr:uid="{00000000-0005-0000-0000-0000B4100000}"/>
    <cellStyle name="20% - Accent3 2 3 2 2 4" xfId="20686" xr:uid="{00000000-0005-0000-0000-0000B5100000}"/>
    <cellStyle name="20% - Accent3 2 3 2 3" xfId="6539" xr:uid="{00000000-0005-0000-0000-0000B6100000}"/>
    <cellStyle name="20% - Accent3 2 3 2 3 2" xfId="14511" xr:uid="{00000000-0005-0000-0000-0000B7100000}"/>
    <cellStyle name="20% - Accent3 2 3 2 3 3" xfId="22458" xr:uid="{00000000-0005-0000-0000-0000B8100000}"/>
    <cellStyle name="20% - Accent3 2 3 2 4" xfId="10975" xr:uid="{00000000-0005-0000-0000-0000B9100000}"/>
    <cellStyle name="20% - Accent3 2 3 2 5" xfId="18930" xr:uid="{00000000-0005-0000-0000-0000BA100000}"/>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3" xfId="23337" xr:uid="{00000000-0005-0000-0000-0000BF100000}"/>
    <cellStyle name="20% - Accent3 2 3 3 3" xfId="11853" xr:uid="{00000000-0005-0000-0000-0000C0100000}"/>
    <cellStyle name="20% - Accent3 2 3 3 4" xfId="19808" xr:uid="{00000000-0005-0000-0000-0000C1100000}"/>
    <cellStyle name="20% - Accent3 2 3 4" xfId="5648" xr:uid="{00000000-0005-0000-0000-0000C2100000}"/>
    <cellStyle name="20% - Accent3 2 3 4 2" xfId="13632" xr:uid="{00000000-0005-0000-0000-0000C3100000}"/>
    <cellStyle name="20% - Accent3 2 3 4 3" xfId="21580" xr:uid="{00000000-0005-0000-0000-0000C4100000}"/>
    <cellStyle name="20% - Accent3 2 3 5" xfId="9201" xr:uid="{00000000-0005-0000-0000-0000C5100000}"/>
    <cellStyle name="20% - Accent3 2 3 5 2" xfId="17159" xr:uid="{00000000-0005-0000-0000-0000C6100000}"/>
    <cellStyle name="20% - Accent3 2 3 5 3" xfId="25103" xr:uid="{00000000-0005-0000-0000-0000C7100000}"/>
    <cellStyle name="20% - Accent3 2 3 6" xfId="10097" xr:uid="{00000000-0005-0000-0000-0000C8100000}"/>
    <cellStyle name="20% - Accent3 2 3 7" xfId="18052" xr:uid="{00000000-0005-0000-0000-0000C9100000}"/>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3" xfId="24845" xr:uid="{00000000-0005-0000-0000-0000D0100000}"/>
    <cellStyle name="20% - Accent3 2 4 2 2 3" xfId="13361" xr:uid="{00000000-0005-0000-0000-0000D1100000}"/>
    <cellStyle name="20% - Accent3 2 4 2 2 4" xfId="21316" xr:uid="{00000000-0005-0000-0000-0000D2100000}"/>
    <cellStyle name="20% - Accent3 2 4 2 3" xfId="7169" xr:uid="{00000000-0005-0000-0000-0000D3100000}"/>
    <cellStyle name="20% - Accent3 2 4 2 3 2" xfId="15141" xr:uid="{00000000-0005-0000-0000-0000D4100000}"/>
    <cellStyle name="20% - Accent3 2 4 2 3 3" xfId="23088" xr:uid="{00000000-0005-0000-0000-0000D5100000}"/>
    <cellStyle name="20% - Accent3 2 4 2 4" xfId="11605" xr:uid="{00000000-0005-0000-0000-0000D6100000}"/>
    <cellStyle name="20% - Accent3 2 4 2 5" xfId="19560" xr:uid="{00000000-0005-0000-0000-0000D7100000}"/>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3" xfId="23967" xr:uid="{00000000-0005-0000-0000-0000DC100000}"/>
    <cellStyle name="20% - Accent3 2 4 3 3" xfId="12483" xr:uid="{00000000-0005-0000-0000-0000DD100000}"/>
    <cellStyle name="20% - Accent3 2 4 3 4" xfId="20438" xr:uid="{00000000-0005-0000-0000-0000DE100000}"/>
    <cellStyle name="20% - Accent3 2 4 4" xfId="6288" xr:uid="{00000000-0005-0000-0000-0000DF100000}"/>
    <cellStyle name="20% - Accent3 2 4 4 2" xfId="14263" xr:uid="{00000000-0005-0000-0000-0000E0100000}"/>
    <cellStyle name="20% - Accent3 2 4 4 3" xfId="22210" xr:uid="{00000000-0005-0000-0000-0000E1100000}"/>
    <cellStyle name="20% - Accent3 2 4 5" xfId="9831" xr:uid="{00000000-0005-0000-0000-0000E2100000}"/>
    <cellStyle name="20% - Accent3 2 4 5 2" xfId="17789" xr:uid="{00000000-0005-0000-0000-0000E3100000}"/>
    <cellStyle name="20% - Accent3 2 4 5 3" xfId="25733" xr:uid="{00000000-0005-0000-0000-0000E4100000}"/>
    <cellStyle name="20% - Accent3 2 4 6" xfId="10727" xr:uid="{00000000-0005-0000-0000-0000E5100000}"/>
    <cellStyle name="20% - Accent3 2 4 7" xfId="18682" xr:uid="{00000000-0005-0000-0000-0000E6100000}"/>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3" xfId="24212" xr:uid="{00000000-0005-0000-0000-0000EC100000}"/>
    <cellStyle name="20% - Accent3 2 5 2 3" xfId="12728" xr:uid="{00000000-0005-0000-0000-0000ED100000}"/>
    <cellStyle name="20% - Accent3 2 5 2 4" xfId="20683" xr:uid="{00000000-0005-0000-0000-0000EE100000}"/>
    <cellStyle name="20% - Accent3 2 5 3" xfId="6536" xr:uid="{00000000-0005-0000-0000-0000EF100000}"/>
    <cellStyle name="20% - Accent3 2 5 3 2" xfId="14508" xr:uid="{00000000-0005-0000-0000-0000F0100000}"/>
    <cellStyle name="20% - Accent3 2 5 3 3" xfId="22455" xr:uid="{00000000-0005-0000-0000-0000F1100000}"/>
    <cellStyle name="20% - Accent3 2 5 4" xfId="10972" xr:uid="{00000000-0005-0000-0000-0000F2100000}"/>
    <cellStyle name="20% - Accent3 2 5 5" xfId="18927" xr:uid="{00000000-0005-0000-0000-0000F3100000}"/>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3" xfId="23334" xr:uid="{00000000-0005-0000-0000-0000F8100000}"/>
    <cellStyle name="20% - Accent3 2 6 3" xfId="11850" xr:uid="{00000000-0005-0000-0000-0000F9100000}"/>
    <cellStyle name="20% - Accent3 2 6 4" xfId="19805" xr:uid="{00000000-0005-0000-0000-0000FA100000}"/>
    <cellStyle name="20% - Accent3 2 7" xfId="5645" xr:uid="{00000000-0005-0000-0000-0000FB100000}"/>
    <cellStyle name="20% - Accent3 2 7 2" xfId="13629" xr:uid="{00000000-0005-0000-0000-0000FC100000}"/>
    <cellStyle name="20% - Accent3 2 7 3" xfId="21577" xr:uid="{00000000-0005-0000-0000-0000FD100000}"/>
    <cellStyle name="20% - Accent3 2 8" xfId="9198" xr:uid="{00000000-0005-0000-0000-0000FE100000}"/>
    <cellStyle name="20% - Accent3 2 8 2" xfId="17156" xr:uid="{00000000-0005-0000-0000-0000FF100000}"/>
    <cellStyle name="20% - Accent3 2 8 3" xfId="25100" xr:uid="{00000000-0005-0000-0000-000000110000}"/>
    <cellStyle name="20% - Accent3 2 9" xfId="10094" xr:uid="{00000000-0005-0000-0000-000001110000}"/>
    <cellStyle name="20% - Accent3 2_Exh G" xfId="2229" xr:uid="{00000000-0005-0000-0000-000002110000}"/>
    <cellStyle name="20% - Accent3 3" xfId="150" xr:uid="{00000000-0005-0000-0000-000003110000}"/>
    <cellStyle name="20% - Accent3 3 10" xfId="18053" xr:uid="{00000000-0005-0000-0000-000004110000}"/>
    <cellStyle name="20% - Accent3 3 2" xfId="151" xr:uid="{00000000-0005-0000-0000-000005110000}"/>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3" xfId="24218" xr:uid="{00000000-0005-0000-0000-00000B110000}"/>
    <cellStyle name="20% - Accent3 3 2 2 2 2 3" xfId="12734" xr:uid="{00000000-0005-0000-0000-00000C110000}"/>
    <cellStyle name="20% - Accent3 3 2 2 2 2 4" xfId="20689" xr:uid="{00000000-0005-0000-0000-00000D110000}"/>
    <cellStyle name="20% - Accent3 3 2 2 2 3" xfId="6542" xr:uid="{00000000-0005-0000-0000-00000E110000}"/>
    <cellStyle name="20% - Accent3 3 2 2 2 3 2" xfId="14514" xr:uid="{00000000-0005-0000-0000-00000F110000}"/>
    <cellStyle name="20% - Accent3 3 2 2 2 3 3" xfId="22461" xr:uid="{00000000-0005-0000-0000-000010110000}"/>
    <cellStyle name="20% - Accent3 3 2 2 2 4" xfId="10978" xr:uid="{00000000-0005-0000-0000-000011110000}"/>
    <cellStyle name="20% - Accent3 3 2 2 2 5" xfId="18933" xr:uid="{00000000-0005-0000-0000-00001211000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3" xfId="23340" xr:uid="{00000000-0005-0000-0000-000017110000}"/>
    <cellStyle name="20% - Accent3 3 2 2 3 3" xfId="11856" xr:uid="{00000000-0005-0000-0000-000018110000}"/>
    <cellStyle name="20% - Accent3 3 2 2 3 4" xfId="19811" xr:uid="{00000000-0005-0000-0000-000019110000}"/>
    <cellStyle name="20% - Accent3 3 2 2 4" xfId="5651" xr:uid="{00000000-0005-0000-0000-00001A110000}"/>
    <cellStyle name="20% - Accent3 3 2 2 4 2" xfId="13635" xr:uid="{00000000-0005-0000-0000-00001B110000}"/>
    <cellStyle name="20% - Accent3 3 2 2 4 3" xfId="21583" xr:uid="{00000000-0005-0000-0000-00001C110000}"/>
    <cellStyle name="20% - Accent3 3 2 2 5" xfId="9204" xr:uid="{00000000-0005-0000-0000-00001D110000}"/>
    <cellStyle name="20% - Accent3 3 2 2 5 2" xfId="17162" xr:uid="{00000000-0005-0000-0000-00001E110000}"/>
    <cellStyle name="20% - Accent3 3 2 2 5 3" xfId="25106" xr:uid="{00000000-0005-0000-0000-00001F110000}"/>
    <cellStyle name="20% - Accent3 3 2 2 6" xfId="10100" xr:uid="{00000000-0005-0000-0000-000020110000}"/>
    <cellStyle name="20% - Accent3 3 2 2 7" xfId="18055" xr:uid="{00000000-0005-0000-0000-000021110000}"/>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3" xfId="24848" xr:uid="{00000000-0005-0000-0000-000028110000}"/>
    <cellStyle name="20% - Accent3 3 2 3 2 2 3" xfId="13364" xr:uid="{00000000-0005-0000-0000-000029110000}"/>
    <cellStyle name="20% - Accent3 3 2 3 2 2 4" xfId="21319" xr:uid="{00000000-0005-0000-0000-00002A110000}"/>
    <cellStyle name="20% - Accent3 3 2 3 2 3" xfId="7172" xr:uid="{00000000-0005-0000-0000-00002B110000}"/>
    <cellStyle name="20% - Accent3 3 2 3 2 3 2" xfId="15144" xr:uid="{00000000-0005-0000-0000-00002C110000}"/>
    <cellStyle name="20% - Accent3 3 2 3 2 3 3" xfId="23091" xr:uid="{00000000-0005-0000-0000-00002D110000}"/>
    <cellStyle name="20% - Accent3 3 2 3 2 4" xfId="11608" xr:uid="{00000000-0005-0000-0000-00002E110000}"/>
    <cellStyle name="20% - Accent3 3 2 3 2 5" xfId="19563" xr:uid="{00000000-0005-0000-0000-00002F11000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3" xfId="23970" xr:uid="{00000000-0005-0000-0000-000034110000}"/>
    <cellStyle name="20% - Accent3 3 2 3 3 3" xfId="12486" xr:uid="{00000000-0005-0000-0000-000035110000}"/>
    <cellStyle name="20% - Accent3 3 2 3 3 4" xfId="20441" xr:uid="{00000000-0005-0000-0000-000036110000}"/>
    <cellStyle name="20% - Accent3 3 2 3 4" xfId="6291" xr:uid="{00000000-0005-0000-0000-000037110000}"/>
    <cellStyle name="20% - Accent3 3 2 3 4 2" xfId="14266" xr:uid="{00000000-0005-0000-0000-000038110000}"/>
    <cellStyle name="20% - Accent3 3 2 3 4 3" xfId="22213" xr:uid="{00000000-0005-0000-0000-000039110000}"/>
    <cellStyle name="20% - Accent3 3 2 3 5" xfId="9834" xr:uid="{00000000-0005-0000-0000-00003A110000}"/>
    <cellStyle name="20% - Accent3 3 2 3 5 2" xfId="17792" xr:uid="{00000000-0005-0000-0000-00003B110000}"/>
    <cellStyle name="20% - Accent3 3 2 3 5 3" xfId="25736" xr:uid="{00000000-0005-0000-0000-00003C110000}"/>
    <cellStyle name="20% - Accent3 3 2 3 6" xfId="10730" xr:uid="{00000000-0005-0000-0000-00003D110000}"/>
    <cellStyle name="20% - Accent3 3 2 3 7" xfId="18685" xr:uid="{00000000-0005-0000-0000-00003E110000}"/>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3" xfId="24217" xr:uid="{00000000-0005-0000-0000-000044110000}"/>
    <cellStyle name="20% - Accent3 3 2 4 2 3" xfId="12733" xr:uid="{00000000-0005-0000-0000-000045110000}"/>
    <cellStyle name="20% - Accent3 3 2 4 2 4" xfId="20688" xr:uid="{00000000-0005-0000-0000-000046110000}"/>
    <cellStyle name="20% - Accent3 3 2 4 3" xfId="6541" xr:uid="{00000000-0005-0000-0000-000047110000}"/>
    <cellStyle name="20% - Accent3 3 2 4 3 2" xfId="14513" xr:uid="{00000000-0005-0000-0000-000048110000}"/>
    <cellStyle name="20% - Accent3 3 2 4 3 3" xfId="22460" xr:uid="{00000000-0005-0000-0000-000049110000}"/>
    <cellStyle name="20% - Accent3 3 2 4 4" xfId="10977" xr:uid="{00000000-0005-0000-0000-00004A110000}"/>
    <cellStyle name="20% - Accent3 3 2 4 5" xfId="18932" xr:uid="{00000000-0005-0000-0000-00004B110000}"/>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3" xfId="23339" xr:uid="{00000000-0005-0000-0000-000050110000}"/>
    <cellStyle name="20% - Accent3 3 2 5 3" xfId="11855" xr:uid="{00000000-0005-0000-0000-000051110000}"/>
    <cellStyle name="20% - Accent3 3 2 5 4" xfId="19810" xr:uid="{00000000-0005-0000-0000-000052110000}"/>
    <cellStyle name="20% - Accent3 3 2 6" xfId="5650" xr:uid="{00000000-0005-0000-0000-000053110000}"/>
    <cellStyle name="20% - Accent3 3 2 6 2" xfId="13634" xr:uid="{00000000-0005-0000-0000-000054110000}"/>
    <cellStyle name="20% - Accent3 3 2 6 3" xfId="21582" xr:uid="{00000000-0005-0000-0000-000055110000}"/>
    <cellStyle name="20% - Accent3 3 2 7" xfId="9203" xr:uid="{00000000-0005-0000-0000-000056110000}"/>
    <cellStyle name="20% - Accent3 3 2 7 2" xfId="17161" xr:uid="{00000000-0005-0000-0000-000057110000}"/>
    <cellStyle name="20% - Accent3 3 2 7 3" xfId="25105" xr:uid="{00000000-0005-0000-0000-000058110000}"/>
    <cellStyle name="20% - Accent3 3 2 8" xfId="10099" xr:uid="{00000000-0005-0000-0000-000059110000}"/>
    <cellStyle name="20% - Accent3 3 2 9" xfId="18054" xr:uid="{00000000-0005-0000-0000-00005A110000}"/>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3" xfId="24219" xr:uid="{00000000-0005-0000-0000-000061110000}"/>
    <cellStyle name="20% - Accent3 3 3 2 2 3" xfId="12735" xr:uid="{00000000-0005-0000-0000-000062110000}"/>
    <cellStyle name="20% - Accent3 3 3 2 2 4" xfId="20690" xr:uid="{00000000-0005-0000-0000-000063110000}"/>
    <cellStyle name="20% - Accent3 3 3 2 3" xfId="6543" xr:uid="{00000000-0005-0000-0000-000064110000}"/>
    <cellStyle name="20% - Accent3 3 3 2 3 2" xfId="14515" xr:uid="{00000000-0005-0000-0000-000065110000}"/>
    <cellStyle name="20% - Accent3 3 3 2 3 3" xfId="22462" xr:uid="{00000000-0005-0000-0000-000066110000}"/>
    <cellStyle name="20% - Accent3 3 3 2 4" xfId="10979" xr:uid="{00000000-0005-0000-0000-000067110000}"/>
    <cellStyle name="20% - Accent3 3 3 2 5" xfId="18934" xr:uid="{00000000-0005-0000-0000-000068110000}"/>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3" xfId="23341" xr:uid="{00000000-0005-0000-0000-00006D110000}"/>
    <cellStyle name="20% - Accent3 3 3 3 3" xfId="11857" xr:uid="{00000000-0005-0000-0000-00006E110000}"/>
    <cellStyle name="20% - Accent3 3 3 3 4" xfId="19812" xr:uid="{00000000-0005-0000-0000-00006F110000}"/>
    <cellStyle name="20% - Accent3 3 3 4" xfId="5652" xr:uid="{00000000-0005-0000-0000-000070110000}"/>
    <cellStyle name="20% - Accent3 3 3 4 2" xfId="13636" xr:uid="{00000000-0005-0000-0000-000071110000}"/>
    <cellStyle name="20% - Accent3 3 3 4 3" xfId="21584" xr:uid="{00000000-0005-0000-0000-000072110000}"/>
    <cellStyle name="20% - Accent3 3 3 5" xfId="9205" xr:uid="{00000000-0005-0000-0000-000073110000}"/>
    <cellStyle name="20% - Accent3 3 3 5 2" xfId="17163" xr:uid="{00000000-0005-0000-0000-000074110000}"/>
    <cellStyle name="20% - Accent3 3 3 5 3" xfId="25107" xr:uid="{00000000-0005-0000-0000-000075110000}"/>
    <cellStyle name="20% - Accent3 3 3 6" xfId="10101" xr:uid="{00000000-0005-0000-0000-000076110000}"/>
    <cellStyle name="20% - Accent3 3 3 7" xfId="18056" xr:uid="{00000000-0005-0000-0000-000077110000}"/>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3" xfId="24847" xr:uid="{00000000-0005-0000-0000-00007E110000}"/>
    <cellStyle name="20% - Accent3 3 4 2 2 3" xfId="13363" xr:uid="{00000000-0005-0000-0000-00007F110000}"/>
    <cellStyle name="20% - Accent3 3 4 2 2 4" xfId="21318" xr:uid="{00000000-0005-0000-0000-000080110000}"/>
    <cellStyle name="20% - Accent3 3 4 2 3" xfId="7171" xr:uid="{00000000-0005-0000-0000-000081110000}"/>
    <cellStyle name="20% - Accent3 3 4 2 3 2" xfId="15143" xr:uid="{00000000-0005-0000-0000-000082110000}"/>
    <cellStyle name="20% - Accent3 3 4 2 3 3" xfId="23090" xr:uid="{00000000-0005-0000-0000-000083110000}"/>
    <cellStyle name="20% - Accent3 3 4 2 4" xfId="11607" xr:uid="{00000000-0005-0000-0000-000084110000}"/>
    <cellStyle name="20% - Accent3 3 4 2 5" xfId="19562" xr:uid="{00000000-0005-0000-0000-000085110000}"/>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3" xfId="23969" xr:uid="{00000000-0005-0000-0000-00008A110000}"/>
    <cellStyle name="20% - Accent3 3 4 3 3" xfId="12485" xr:uid="{00000000-0005-0000-0000-00008B110000}"/>
    <cellStyle name="20% - Accent3 3 4 3 4" xfId="20440" xr:uid="{00000000-0005-0000-0000-00008C110000}"/>
    <cellStyle name="20% - Accent3 3 4 4" xfId="6290" xr:uid="{00000000-0005-0000-0000-00008D110000}"/>
    <cellStyle name="20% - Accent3 3 4 4 2" xfId="14265" xr:uid="{00000000-0005-0000-0000-00008E110000}"/>
    <cellStyle name="20% - Accent3 3 4 4 3" xfId="22212" xr:uid="{00000000-0005-0000-0000-00008F110000}"/>
    <cellStyle name="20% - Accent3 3 4 5" xfId="9833" xr:uid="{00000000-0005-0000-0000-000090110000}"/>
    <cellStyle name="20% - Accent3 3 4 5 2" xfId="17791" xr:uid="{00000000-0005-0000-0000-000091110000}"/>
    <cellStyle name="20% - Accent3 3 4 5 3" xfId="25735" xr:uid="{00000000-0005-0000-0000-000092110000}"/>
    <cellStyle name="20% - Accent3 3 4 6" xfId="10729" xr:uid="{00000000-0005-0000-0000-000093110000}"/>
    <cellStyle name="20% - Accent3 3 4 7" xfId="18684" xr:uid="{00000000-0005-0000-0000-000094110000}"/>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3" xfId="24216" xr:uid="{00000000-0005-0000-0000-00009A110000}"/>
    <cellStyle name="20% - Accent3 3 5 2 3" xfId="12732" xr:uid="{00000000-0005-0000-0000-00009B110000}"/>
    <cellStyle name="20% - Accent3 3 5 2 4" xfId="20687" xr:uid="{00000000-0005-0000-0000-00009C110000}"/>
    <cellStyle name="20% - Accent3 3 5 3" xfId="6540" xr:uid="{00000000-0005-0000-0000-00009D110000}"/>
    <cellStyle name="20% - Accent3 3 5 3 2" xfId="14512" xr:uid="{00000000-0005-0000-0000-00009E110000}"/>
    <cellStyle name="20% - Accent3 3 5 3 3" xfId="22459" xr:uid="{00000000-0005-0000-0000-00009F110000}"/>
    <cellStyle name="20% - Accent3 3 5 4" xfId="10976" xr:uid="{00000000-0005-0000-0000-0000A0110000}"/>
    <cellStyle name="20% - Accent3 3 5 5" xfId="18931" xr:uid="{00000000-0005-0000-0000-0000A1110000}"/>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3" xfId="23338" xr:uid="{00000000-0005-0000-0000-0000A6110000}"/>
    <cellStyle name="20% - Accent3 3 6 3" xfId="11854" xr:uid="{00000000-0005-0000-0000-0000A7110000}"/>
    <cellStyle name="20% - Accent3 3 6 4" xfId="19809" xr:uid="{00000000-0005-0000-0000-0000A8110000}"/>
    <cellStyle name="20% - Accent3 3 7" xfId="5649" xr:uid="{00000000-0005-0000-0000-0000A9110000}"/>
    <cellStyle name="20% - Accent3 3 7 2" xfId="13633" xr:uid="{00000000-0005-0000-0000-0000AA110000}"/>
    <cellStyle name="20% - Accent3 3 7 3" xfId="21581" xr:uid="{00000000-0005-0000-0000-0000AB110000}"/>
    <cellStyle name="20% - Accent3 3 8" xfId="9202" xr:uid="{00000000-0005-0000-0000-0000AC110000}"/>
    <cellStyle name="20% - Accent3 3 8 2" xfId="17160" xr:uid="{00000000-0005-0000-0000-0000AD110000}"/>
    <cellStyle name="20% - Accent3 3 8 3" xfId="25104" xr:uid="{00000000-0005-0000-0000-0000AE110000}"/>
    <cellStyle name="20% - Accent3 3 9" xfId="10098" xr:uid="{00000000-0005-0000-0000-0000AF110000}"/>
    <cellStyle name="20% - Accent3 3_Exh G" xfId="2241" xr:uid="{00000000-0005-0000-0000-0000B0110000}"/>
    <cellStyle name="20% - Accent3 4" xfId="154" xr:uid="{00000000-0005-0000-0000-0000B1110000}"/>
    <cellStyle name="20% - Accent3 4 10" xfId="18057" xr:uid="{00000000-0005-0000-0000-0000B2110000}"/>
    <cellStyle name="20% - Accent3 4 2" xfId="155" xr:uid="{00000000-0005-0000-0000-0000B3110000}"/>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3" xfId="24222" xr:uid="{00000000-0005-0000-0000-0000B9110000}"/>
    <cellStyle name="20% - Accent3 4 2 2 2 2 3" xfId="12738" xr:uid="{00000000-0005-0000-0000-0000BA110000}"/>
    <cellStyle name="20% - Accent3 4 2 2 2 2 4" xfId="20693" xr:uid="{00000000-0005-0000-0000-0000BB110000}"/>
    <cellStyle name="20% - Accent3 4 2 2 2 3" xfId="6546" xr:uid="{00000000-0005-0000-0000-0000BC110000}"/>
    <cellStyle name="20% - Accent3 4 2 2 2 3 2" xfId="14518" xr:uid="{00000000-0005-0000-0000-0000BD110000}"/>
    <cellStyle name="20% - Accent3 4 2 2 2 3 3" xfId="22465" xr:uid="{00000000-0005-0000-0000-0000BE110000}"/>
    <cellStyle name="20% - Accent3 4 2 2 2 4" xfId="10982" xr:uid="{00000000-0005-0000-0000-0000BF110000}"/>
    <cellStyle name="20% - Accent3 4 2 2 2 5" xfId="18937" xr:uid="{00000000-0005-0000-0000-0000C0110000}"/>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3" xfId="23344" xr:uid="{00000000-0005-0000-0000-0000C5110000}"/>
    <cellStyle name="20% - Accent3 4 2 2 3 3" xfId="11860" xr:uid="{00000000-0005-0000-0000-0000C6110000}"/>
    <cellStyle name="20% - Accent3 4 2 2 3 4" xfId="19815" xr:uid="{00000000-0005-0000-0000-0000C7110000}"/>
    <cellStyle name="20% - Accent3 4 2 2 4" xfId="5655" xr:uid="{00000000-0005-0000-0000-0000C8110000}"/>
    <cellStyle name="20% - Accent3 4 2 2 4 2" xfId="13639" xr:uid="{00000000-0005-0000-0000-0000C9110000}"/>
    <cellStyle name="20% - Accent3 4 2 2 4 3" xfId="21587" xr:uid="{00000000-0005-0000-0000-0000CA110000}"/>
    <cellStyle name="20% - Accent3 4 2 2 5" xfId="9208" xr:uid="{00000000-0005-0000-0000-0000CB110000}"/>
    <cellStyle name="20% - Accent3 4 2 2 5 2" xfId="17166" xr:uid="{00000000-0005-0000-0000-0000CC110000}"/>
    <cellStyle name="20% - Accent3 4 2 2 5 3" xfId="25110" xr:uid="{00000000-0005-0000-0000-0000CD110000}"/>
    <cellStyle name="20% - Accent3 4 2 2 6" xfId="10104" xr:uid="{00000000-0005-0000-0000-0000CE110000}"/>
    <cellStyle name="20% - Accent3 4 2 2 7" xfId="18059" xr:uid="{00000000-0005-0000-0000-0000CF110000}"/>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3" xfId="24850" xr:uid="{00000000-0005-0000-0000-0000D6110000}"/>
    <cellStyle name="20% - Accent3 4 2 3 2 2 3" xfId="13366" xr:uid="{00000000-0005-0000-0000-0000D7110000}"/>
    <cellStyle name="20% - Accent3 4 2 3 2 2 4" xfId="21321" xr:uid="{00000000-0005-0000-0000-0000D8110000}"/>
    <cellStyle name="20% - Accent3 4 2 3 2 3" xfId="7174" xr:uid="{00000000-0005-0000-0000-0000D9110000}"/>
    <cellStyle name="20% - Accent3 4 2 3 2 3 2" xfId="15146" xr:uid="{00000000-0005-0000-0000-0000DA110000}"/>
    <cellStyle name="20% - Accent3 4 2 3 2 3 3" xfId="23093" xr:uid="{00000000-0005-0000-0000-0000DB110000}"/>
    <cellStyle name="20% - Accent3 4 2 3 2 4" xfId="11610" xr:uid="{00000000-0005-0000-0000-0000DC110000}"/>
    <cellStyle name="20% - Accent3 4 2 3 2 5" xfId="19565" xr:uid="{00000000-0005-0000-0000-0000DD110000}"/>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3" xfId="23972" xr:uid="{00000000-0005-0000-0000-0000E2110000}"/>
    <cellStyle name="20% - Accent3 4 2 3 3 3" xfId="12488" xr:uid="{00000000-0005-0000-0000-0000E3110000}"/>
    <cellStyle name="20% - Accent3 4 2 3 3 4" xfId="20443" xr:uid="{00000000-0005-0000-0000-0000E4110000}"/>
    <cellStyle name="20% - Accent3 4 2 3 4" xfId="6293" xr:uid="{00000000-0005-0000-0000-0000E5110000}"/>
    <cellStyle name="20% - Accent3 4 2 3 4 2" xfId="14268" xr:uid="{00000000-0005-0000-0000-0000E6110000}"/>
    <cellStyle name="20% - Accent3 4 2 3 4 3" xfId="22215" xr:uid="{00000000-0005-0000-0000-0000E7110000}"/>
    <cellStyle name="20% - Accent3 4 2 3 5" xfId="9836" xr:uid="{00000000-0005-0000-0000-0000E8110000}"/>
    <cellStyle name="20% - Accent3 4 2 3 5 2" xfId="17794" xr:uid="{00000000-0005-0000-0000-0000E9110000}"/>
    <cellStyle name="20% - Accent3 4 2 3 5 3" xfId="25738" xr:uid="{00000000-0005-0000-0000-0000EA110000}"/>
    <cellStyle name="20% - Accent3 4 2 3 6" xfId="10732" xr:uid="{00000000-0005-0000-0000-0000EB110000}"/>
    <cellStyle name="20% - Accent3 4 2 3 7" xfId="18687" xr:uid="{00000000-0005-0000-0000-0000EC110000}"/>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3" xfId="24221" xr:uid="{00000000-0005-0000-0000-0000F2110000}"/>
    <cellStyle name="20% - Accent3 4 2 4 2 3" xfId="12737" xr:uid="{00000000-0005-0000-0000-0000F3110000}"/>
    <cellStyle name="20% - Accent3 4 2 4 2 4" xfId="20692" xr:uid="{00000000-0005-0000-0000-0000F4110000}"/>
    <cellStyle name="20% - Accent3 4 2 4 3" xfId="6545" xr:uid="{00000000-0005-0000-0000-0000F5110000}"/>
    <cellStyle name="20% - Accent3 4 2 4 3 2" xfId="14517" xr:uid="{00000000-0005-0000-0000-0000F6110000}"/>
    <cellStyle name="20% - Accent3 4 2 4 3 3" xfId="22464" xr:uid="{00000000-0005-0000-0000-0000F7110000}"/>
    <cellStyle name="20% - Accent3 4 2 4 4" xfId="10981" xr:uid="{00000000-0005-0000-0000-0000F8110000}"/>
    <cellStyle name="20% - Accent3 4 2 4 5" xfId="18936" xr:uid="{00000000-0005-0000-0000-0000F9110000}"/>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3" xfId="23343" xr:uid="{00000000-0005-0000-0000-0000FE110000}"/>
    <cellStyle name="20% - Accent3 4 2 5 3" xfId="11859" xr:uid="{00000000-0005-0000-0000-0000FF110000}"/>
    <cellStyle name="20% - Accent3 4 2 5 4" xfId="19814" xr:uid="{00000000-0005-0000-0000-000000120000}"/>
    <cellStyle name="20% - Accent3 4 2 6" xfId="5654" xr:uid="{00000000-0005-0000-0000-000001120000}"/>
    <cellStyle name="20% - Accent3 4 2 6 2" xfId="13638" xr:uid="{00000000-0005-0000-0000-000002120000}"/>
    <cellStyle name="20% - Accent3 4 2 6 3" xfId="21586" xr:uid="{00000000-0005-0000-0000-000003120000}"/>
    <cellStyle name="20% - Accent3 4 2 7" xfId="9207" xr:uid="{00000000-0005-0000-0000-000004120000}"/>
    <cellStyle name="20% - Accent3 4 2 7 2" xfId="17165" xr:uid="{00000000-0005-0000-0000-000005120000}"/>
    <cellStyle name="20% - Accent3 4 2 7 3" xfId="25109" xr:uid="{00000000-0005-0000-0000-000006120000}"/>
    <cellStyle name="20% - Accent3 4 2 8" xfId="10103" xr:uid="{00000000-0005-0000-0000-000007120000}"/>
    <cellStyle name="20% - Accent3 4 2 9" xfId="18058" xr:uid="{00000000-0005-0000-0000-000008120000}"/>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3" xfId="24223" xr:uid="{00000000-0005-0000-0000-00000F120000}"/>
    <cellStyle name="20% - Accent3 4 3 2 2 3" xfId="12739" xr:uid="{00000000-0005-0000-0000-000010120000}"/>
    <cellStyle name="20% - Accent3 4 3 2 2 4" xfId="20694" xr:uid="{00000000-0005-0000-0000-000011120000}"/>
    <cellStyle name="20% - Accent3 4 3 2 3" xfId="6547" xr:uid="{00000000-0005-0000-0000-000012120000}"/>
    <cellStyle name="20% - Accent3 4 3 2 3 2" xfId="14519" xr:uid="{00000000-0005-0000-0000-000013120000}"/>
    <cellStyle name="20% - Accent3 4 3 2 3 3" xfId="22466" xr:uid="{00000000-0005-0000-0000-000014120000}"/>
    <cellStyle name="20% - Accent3 4 3 2 4" xfId="10983" xr:uid="{00000000-0005-0000-0000-000015120000}"/>
    <cellStyle name="20% - Accent3 4 3 2 5" xfId="18938" xr:uid="{00000000-0005-0000-0000-000016120000}"/>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3" xfId="23345" xr:uid="{00000000-0005-0000-0000-00001B120000}"/>
    <cellStyle name="20% - Accent3 4 3 3 3" xfId="11861" xr:uid="{00000000-0005-0000-0000-00001C120000}"/>
    <cellStyle name="20% - Accent3 4 3 3 4" xfId="19816" xr:uid="{00000000-0005-0000-0000-00001D120000}"/>
    <cellStyle name="20% - Accent3 4 3 4" xfId="5656" xr:uid="{00000000-0005-0000-0000-00001E120000}"/>
    <cellStyle name="20% - Accent3 4 3 4 2" xfId="13640" xr:uid="{00000000-0005-0000-0000-00001F120000}"/>
    <cellStyle name="20% - Accent3 4 3 4 3" xfId="21588" xr:uid="{00000000-0005-0000-0000-000020120000}"/>
    <cellStyle name="20% - Accent3 4 3 5" xfId="9209" xr:uid="{00000000-0005-0000-0000-000021120000}"/>
    <cellStyle name="20% - Accent3 4 3 5 2" xfId="17167" xr:uid="{00000000-0005-0000-0000-000022120000}"/>
    <cellStyle name="20% - Accent3 4 3 5 3" xfId="25111" xr:uid="{00000000-0005-0000-0000-000023120000}"/>
    <cellStyle name="20% - Accent3 4 3 6" xfId="10105" xr:uid="{00000000-0005-0000-0000-000024120000}"/>
    <cellStyle name="20% - Accent3 4 3 7" xfId="18060" xr:uid="{00000000-0005-0000-0000-000025120000}"/>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3" xfId="24849" xr:uid="{00000000-0005-0000-0000-00002C120000}"/>
    <cellStyle name="20% - Accent3 4 4 2 2 3" xfId="13365" xr:uid="{00000000-0005-0000-0000-00002D120000}"/>
    <cellStyle name="20% - Accent3 4 4 2 2 4" xfId="21320" xr:uid="{00000000-0005-0000-0000-00002E120000}"/>
    <cellStyle name="20% - Accent3 4 4 2 3" xfId="7173" xr:uid="{00000000-0005-0000-0000-00002F120000}"/>
    <cellStyle name="20% - Accent3 4 4 2 3 2" xfId="15145" xr:uid="{00000000-0005-0000-0000-000030120000}"/>
    <cellStyle name="20% - Accent3 4 4 2 3 3" xfId="23092" xr:uid="{00000000-0005-0000-0000-000031120000}"/>
    <cellStyle name="20% - Accent3 4 4 2 4" xfId="11609" xr:uid="{00000000-0005-0000-0000-000032120000}"/>
    <cellStyle name="20% - Accent3 4 4 2 5" xfId="19564" xr:uid="{00000000-0005-0000-0000-000033120000}"/>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3" xfId="23971" xr:uid="{00000000-0005-0000-0000-000038120000}"/>
    <cellStyle name="20% - Accent3 4 4 3 3" xfId="12487" xr:uid="{00000000-0005-0000-0000-000039120000}"/>
    <cellStyle name="20% - Accent3 4 4 3 4" xfId="20442" xr:uid="{00000000-0005-0000-0000-00003A120000}"/>
    <cellStyle name="20% - Accent3 4 4 4" xfId="6292" xr:uid="{00000000-0005-0000-0000-00003B120000}"/>
    <cellStyle name="20% - Accent3 4 4 4 2" xfId="14267" xr:uid="{00000000-0005-0000-0000-00003C120000}"/>
    <cellStyle name="20% - Accent3 4 4 4 3" xfId="22214" xr:uid="{00000000-0005-0000-0000-00003D120000}"/>
    <cellStyle name="20% - Accent3 4 4 5" xfId="9835" xr:uid="{00000000-0005-0000-0000-00003E120000}"/>
    <cellStyle name="20% - Accent3 4 4 5 2" xfId="17793" xr:uid="{00000000-0005-0000-0000-00003F120000}"/>
    <cellStyle name="20% - Accent3 4 4 5 3" xfId="25737" xr:uid="{00000000-0005-0000-0000-000040120000}"/>
    <cellStyle name="20% - Accent3 4 4 6" xfId="10731" xr:uid="{00000000-0005-0000-0000-000041120000}"/>
    <cellStyle name="20% - Accent3 4 4 7" xfId="18686" xr:uid="{00000000-0005-0000-0000-000042120000}"/>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3" xfId="24220" xr:uid="{00000000-0005-0000-0000-000048120000}"/>
    <cellStyle name="20% - Accent3 4 5 2 3" xfId="12736" xr:uid="{00000000-0005-0000-0000-000049120000}"/>
    <cellStyle name="20% - Accent3 4 5 2 4" xfId="20691" xr:uid="{00000000-0005-0000-0000-00004A120000}"/>
    <cellStyle name="20% - Accent3 4 5 3" xfId="6544" xr:uid="{00000000-0005-0000-0000-00004B120000}"/>
    <cellStyle name="20% - Accent3 4 5 3 2" xfId="14516" xr:uid="{00000000-0005-0000-0000-00004C120000}"/>
    <cellStyle name="20% - Accent3 4 5 3 3" xfId="22463" xr:uid="{00000000-0005-0000-0000-00004D120000}"/>
    <cellStyle name="20% - Accent3 4 5 4" xfId="10980" xr:uid="{00000000-0005-0000-0000-00004E120000}"/>
    <cellStyle name="20% - Accent3 4 5 5" xfId="18935" xr:uid="{00000000-0005-0000-0000-00004F120000}"/>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3" xfId="23342" xr:uid="{00000000-0005-0000-0000-000054120000}"/>
    <cellStyle name="20% - Accent3 4 6 3" xfId="11858" xr:uid="{00000000-0005-0000-0000-000055120000}"/>
    <cellStyle name="20% - Accent3 4 6 4" xfId="19813" xr:uid="{00000000-0005-0000-0000-000056120000}"/>
    <cellStyle name="20% - Accent3 4 7" xfId="5653" xr:uid="{00000000-0005-0000-0000-000057120000}"/>
    <cellStyle name="20% - Accent3 4 7 2" xfId="13637" xr:uid="{00000000-0005-0000-0000-000058120000}"/>
    <cellStyle name="20% - Accent3 4 7 3" xfId="21585" xr:uid="{00000000-0005-0000-0000-000059120000}"/>
    <cellStyle name="20% - Accent3 4 8" xfId="9206" xr:uid="{00000000-0005-0000-0000-00005A120000}"/>
    <cellStyle name="20% - Accent3 4 8 2" xfId="17164" xr:uid="{00000000-0005-0000-0000-00005B120000}"/>
    <cellStyle name="20% - Accent3 4 8 3" xfId="25108" xr:uid="{00000000-0005-0000-0000-00005C120000}"/>
    <cellStyle name="20% - Accent3 4 9" xfId="10102" xr:uid="{00000000-0005-0000-0000-00005D120000}"/>
    <cellStyle name="20% - Accent3 4_Exh G" xfId="2253" xr:uid="{00000000-0005-0000-0000-00005E120000}"/>
    <cellStyle name="20% - Accent3 5" xfId="158" xr:uid="{00000000-0005-0000-0000-00005F120000}"/>
    <cellStyle name="20% - Accent3 5 10" xfId="18061" xr:uid="{00000000-0005-0000-0000-000060120000}"/>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3" xfId="24226" xr:uid="{00000000-0005-0000-0000-000067120000}"/>
    <cellStyle name="20% - Accent3 5 2 2 2 2 3" xfId="12742" xr:uid="{00000000-0005-0000-0000-000068120000}"/>
    <cellStyle name="20% - Accent3 5 2 2 2 2 4" xfId="20697" xr:uid="{00000000-0005-0000-0000-000069120000}"/>
    <cellStyle name="20% - Accent3 5 2 2 2 3" xfId="6550" xr:uid="{00000000-0005-0000-0000-00006A120000}"/>
    <cellStyle name="20% - Accent3 5 2 2 2 3 2" xfId="14522" xr:uid="{00000000-0005-0000-0000-00006B120000}"/>
    <cellStyle name="20% - Accent3 5 2 2 2 3 3" xfId="22469" xr:uid="{00000000-0005-0000-0000-00006C120000}"/>
    <cellStyle name="20% - Accent3 5 2 2 2 4" xfId="10986" xr:uid="{00000000-0005-0000-0000-00006D120000}"/>
    <cellStyle name="20% - Accent3 5 2 2 2 5" xfId="18941" xr:uid="{00000000-0005-0000-0000-00006E120000}"/>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3" xfId="23348" xr:uid="{00000000-0005-0000-0000-000073120000}"/>
    <cellStyle name="20% - Accent3 5 2 2 3 3" xfId="11864" xr:uid="{00000000-0005-0000-0000-000074120000}"/>
    <cellStyle name="20% - Accent3 5 2 2 3 4" xfId="19819" xr:uid="{00000000-0005-0000-0000-000075120000}"/>
    <cellStyle name="20% - Accent3 5 2 2 4" xfId="5659" xr:uid="{00000000-0005-0000-0000-000076120000}"/>
    <cellStyle name="20% - Accent3 5 2 2 4 2" xfId="13643" xr:uid="{00000000-0005-0000-0000-000077120000}"/>
    <cellStyle name="20% - Accent3 5 2 2 4 3" xfId="21591" xr:uid="{00000000-0005-0000-0000-000078120000}"/>
    <cellStyle name="20% - Accent3 5 2 2 5" xfId="9212" xr:uid="{00000000-0005-0000-0000-000079120000}"/>
    <cellStyle name="20% - Accent3 5 2 2 5 2" xfId="17170" xr:uid="{00000000-0005-0000-0000-00007A120000}"/>
    <cellStyle name="20% - Accent3 5 2 2 5 3" xfId="25114" xr:uid="{00000000-0005-0000-0000-00007B120000}"/>
    <cellStyle name="20% - Accent3 5 2 2 6" xfId="10108" xr:uid="{00000000-0005-0000-0000-00007C120000}"/>
    <cellStyle name="20% - Accent3 5 2 2 7" xfId="18063" xr:uid="{00000000-0005-0000-0000-00007D120000}"/>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3" xfId="24225" xr:uid="{00000000-0005-0000-0000-000083120000}"/>
    <cellStyle name="20% - Accent3 5 2 3 2 3" xfId="12741" xr:uid="{00000000-0005-0000-0000-000084120000}"/>
    <cellStyle name="20% - Accent3 5 2 3 2 4" xfId="20696" xr:uid="{00000000-0005-0000-0000-000085120000}"/>
    <cellStyle name="20% - Accent3 5 2 3 3" xfId="6549" xr:uid="{00000000-0005-0000-0000-000086120000}"/>
    <cellStyle name="20% - Accent3 5 2 3 3 2" xfId="14521" xr:uid="{00000000-0005-0000-0000-000087120000}"/>
    <cellStyle name="20% - Accent3 5 2 3 3 3" xfId="22468" xr:uid="{00000000-0005-0000-0000-000088120000}"/>
    <cellStyle name="20% - Accent3 5 2 3 4" xfId="10985" xr:uid="{00000000-0005-0000-0000-000089120000}"/>
    <cellStyle name="20% - Accent3 5 2 3 5" xfId="18940" xr:uid="{00000000-0005-0000-0000-00008A120000}"/>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3" xfId="23347" xr:uid="{00000000-0005-0000-0000-00008F120000}"/>
    <cellStyle name="20% - Accent3 5 2 4 3" xfId="11863" xr:uid="{00000000-0005-0000-0000-000090120000}"/>
    <cellStyle name="20% - Accent3 5 2 4 4" xfId="19818" xr:uid="{00000000-0005-0000-0000-000091120000}"/>
    <cellStyle name="20% - Accent3 5 2 5" xfId="5658" xr:uid="{00000000-0005-0000-0000-000092120000}"/>
    <cellStyle name="20% - Accent3 5 2 5 2" xfId="13642" xr:uid="{00000000-0005-0000-0000-000093120000}"/>
    <cellStyle name="20% - Accent3 5 2 5 3" xfId="21590" xr:uid="{00000000-0005-0000-0000-000094120000}"/>
    <cellStyle name="20% - Accent3 5 2 6" xfId="9211" xr:uid="{00000000-0005-0000-0000-000095120000}"/>
    <cellStyle name="20% - Accent3 5 2 6 2" xfId="17169" xr:uid="{00000000-0005-0000-0000-000096120000}"/>
    <cellStyle name="20% - Accent3 5 2 6 3" xfId="25113" xr:uid="{00000000-0005-0000-0000-000097120000}"/>
    <cellStyle name="20% - Accent3 5 2 7" xfId="10107" xr:uid="{00000000-0005-0000-0000-000098120000}"/>
    <cellStyle name="20% - Accent3 5 2 8" xfId="18062" xr:uid="{00000000-0005-0000-0000-000099120000}"/>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3" xfId="24227" xr:uid="{00000000-0005-0000-0000-0000A0120000}"/>
    <cellStyle name="20% - Accent3 5 3 2 2 3" xfId="12743" xr:uid="{00000000-0005-0000-0000-0000A1120000}"/>
    <cellStyle name="20% - Accent3 5 3 2 2 4" xfId="20698" xr:uid="{00000000-0005-0000-0000-0000A2120000}"/>
    <cellStyle name="20% - Accent3 5 3 2 3" xfId="6551" xr:uid="{00000000-0005-0000-0000-0000A3120000}"/>
    <cellStyle name="20% - Accent3 5 3 2 3 2" xfId="14523" xr:uid="{00000000-0005-0000-0000-0000A4120000}"/>
    <cellStyle name="20% - Accent3 5 3 2 3 3" xfId="22470" xr:uid="{00000000-0005-0000-0000-0000A5120000}"/>
    <cellStyle name="20% - Accent3 5 3 2 4" xfId="10987" xr:uid="{00000000-0005-0000-0000-0000A6120000}"/>
    <cellStyle name="20% - Accent3 5 3 2 5" xfId="18942" xr:uid="{00000000-0005-0000-0000-0000A7120000}"/>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3" xfId="23349" xr:uid="{00000000-0005-0000-0000-0000AC120000}"/>
    <cellStyle name="20% - Accent3 5 3 3 3" xfId="11865" xr:uid="{00000000-0005-0000-0000-0000AD120000}"/>
    <cellStyle name="20% - Accent3 5 3 3 4" xfId="19820" xr:uid="{00000000-0005-0000-0000-0000AE120000}"/>
    <cellStyle name="20% - Accent3 5 3 4" xfId="5660" xr:uid="{00000000-0005-0000-0000-0000AF120000}"/>
    <cellStyle name="20% - Accent3 5 3 4 2" xfId="13644" xr:uid="{00000000-0005-0000-0000-0000B0120000}"/>
    <cellStyle name="20% - Accent3 5 3 4 3" xfId="21592" xr:uid="{00000000-0005-0000-0000-0000B1120000}"/>
    <cellStyle name="20% - Accent3 5 3 5" xfId="9213" xr:uid="{00000000-0005-0000-0000-0000B2120000}"/>
    <cellStyle name="20% - Accent3 5 3 5 2" xfId="17171" xr:uid="{00000000-0005-0000-0000-0000B3120000}"/>
    <cellStyle name="20% - Accent3 5 3 5 3" xfId="25115" xr:uid="{00000000-0005-0000-0000-0000B4120000}"/>
    <cellStyle name="20% - Accent3 5 3 6" xfId="10109" xr:uid="{00000000-0005-0000-0000-0000B5120000}"/>
    <cellStyle name="20% - Accent3 5 3 7" xfId="18064" xr:uid="{00000000-0005-0000-0000-0000B612000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3" xfId="24224" xr:uid="{00000000-0005-0000-0000-0000BD120000}"/>
    <cellStyle name="20% - Accent3 5 5 2 3" xfId="12740" xr:uid="{00000000-0005-0000-0000-0000BE120000}"/>
    <cellStyle name="20% - Accent3 5 5 2 4" xfId="20695" xr:uid="{00000000-0005-0000-0000-0000BF120000}"/>
    <cellStyle name="20% - Accent3 5 5 3" xfId="6548" xr:uid="{00000000-0005-0000-0000-0000C0120000}"/>
    <cellStyle name="20% - Accent3 5 5 3 2" xfId="14520" xr:uid="{00000000-0005-0000-0000-0000C1120000}"/>
    <cellStyle name="20% - Accent3 5 5 3 3" xfId="22467" xr:uid="{00000000-0005-0000-0000-0000C2120000}"/>
    <cellStyle name="20% - Accent3 5 5 4" xfId="10984" xr:uid="{00000000-0005-0000-0000-0000C3120000}"/>
    <cellStyle name="20% - Accent3 5 5 5" xfId="18939" xr:uid="{00000000-0005-0000-0000-0000C4120000}"/>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3" xfId="23346" xr:uid="{00000000-0005-0000-0000-0000C9120000}"/>
    <cellStyle name="20% - Accent3 5 6 3" xfId="11862" xr:uid="{00000000-0005-0000-0000-0000CA120000}"/>
    <cellStyle name="20% - Accent3 5 6 4" xfId="19817" xr:uid="{00000000-0005-0000-0000-0000CB120000}"/>
    <cellStyle name="20% - Accent3 5 7" xfId="5657" xr:uid="{00000000-0005-0000-0000-0000CC120000}"/>
    <cellStyle name="20% - Accent3 5 7 2" xfId="13641" xr:uid="{00000000-0005-0000-0000-0000CD120000}"/>
    <cellStyle name="20% - Accent3 5 7 3" xfId="21589" xr:uid="{00000000-0005-0000-0000-0000CE120000}"/>
    <cellStyle name="20% - Accent3 5 8" xfId="9210" xr:uid="{00000000-0005-0000-0000-0000CF120000}"/>
    <cellStyle name="20% - Accent3 5 8 2" xfId="17168" xr:uid="{00000000-0005-0000-0000-0000D0120000}"/>
    <cellStyle name="20% - Accent3 5 8 3" xfId="25112" xr:uid="{00000000-0005-0000-0000-0000D1120000}"/>
    <cellStyle name="20% - Accent3 5 9" xfId="10106" xr:uid="{00000000-0005-0000-0000-0000D2120000}"/>
    <cellStyle name="20% - Accent3 5_Exh G" xfId="2265" xr:uid="{00000000-0005-0000-0000-0000D3120000}"/>
    <cellStyle name="20% - Accent3 6" xfId="162" xr:uid="{00000000-0005-0000-0000-0000D4120000}"/>
    <cellStyle name="20% - Accent3 6 10" xfId="18065" xr:uid="{00000000-0005-0000-0000-0000D5120000}"/>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3" xfId="24230" xr:uid="{00000000-0005-0000-0000-0000DC120000}"/>
    <cellStyle name="20% - Accent3 6 2 2 2 2 3" xfId="12746" xr:uid="{00000000-0005-0000-0000-0000DD120000}"/>
    <cellStyle name="20% - Accent3 6 2 2 2 2 4" xfId="20701" xr:uid="{00000000-0005-0000-0000-0000DE120000}"/>
    <cellStyle name="20% - Accent3 6 2 2 2 3" xfId="6554" xr:uid="{00000000-0005-0000-0000-0000DF120000}"/>
    <cellStyle name="20% - Accent3 6 2 2 2 3 2" xfId="14526" xr:uid="{00000000-0005-0000-0000-0000E0120000}"/>
    <cellStyle name="20% - Accent3 6 2 2 2 3 3" xfId="22473" xr:uid="{00000000-0005-0000-0000-0000E1120000}"/>
    <cellStyle name="20% - Accent3 6 2 2 2 4" xfId="10990" xr:uid="{00000000-0005-0000-0000-0000E2120000}"/>
    <cellStyle name="20% - Accent3 6 2 2 2 5" xfId="18945" xr:uid="{00000000-0005-0000-0000-0000E3120000}"/>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3" xfId="23352" xr:uid="{00000000-0005-0000-0000-0000E8120000}"/>
    <cellStyle name="20% - Accent3 6 2 2 3 3" xfId="11868" xr:uid="{00000000-0005-0000-0000-0000E9120000}"/>
    <cellStyle name="20% - Accent3 6 2 2 3 4" xfId="19823" xr:uid="{00000000-0005-0000-0000-0000EA120000}"/>
    <cellStyle name="20% - Accent3 6 2 2 4" xfId="5663" xr:uid="{00000000-0005-0000-0000-0000EB120000}"/>
    <cellStyle name="20% - Accent3 6 2 2 4 2" xfId="13647" xr:uid="{00000000-0005-0000-0000-0000EC120000}"/>
    <cellStyle name="20% - Accent3 6 2 2 4 3" xfId="21595" xr:uid="{00000000-0005-0000-0000-0000ED120000}"/>
    <cellStyle name="20% - Accent3 6 2 2 5" xfId="9216" xr:uid="{00000000-0005-0000-0000-0000EE120000}"/>
    <cellStyle name="20% - Accent3 6 2 2 5 2" xfId="17174" xr:uid="{00000000-0005-0000-0000-0000EF120000}"/>
    <cellStyle name="20% - Accent3 6 2 2 5 3" xfId="25118" xr:uid="{00000000-0005-0000-0000-0000F0120000}"/>
    <cellStyle name="20% - Accent3 6 2 2 6" xfId="10112" xr:uid="{00000000-0005-0000-0000-0000F1120000}"/>
    <cellStyle name="20% - Accent3 6 2 2 7" xfId="18067" xr:uid="{00000000-0005-0000-0000-0000F2120000}"/>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3" xfId="24229" xr:uid="{00000000-0005-0000-0000-0000F8120000}"/>
    <cellStyle name="20% - Accent3 6 2 3 2 3" xfId="12745" xr:uid="{00000000-0005-0000-0000-0000F9120000}"/>
    <cellStyle name="20% - Accent3 6 2 3 2 4" xfId="20700" xr:uid="{00000000-0005-0000-0000-0000FA120000}"/>
    <cellStyle name="20% - Accent3 6 2 3 3" xfId="6553" xr:uid="{00000000-0005-0000-0000-0000FB120000}"/>
    <cellStyle name="20% - Accent3 6 2 3 3 2" xfId="14525" xr:uid="{00000000-0005-0000-0000-0000FC120000}"/>
    <cellStyle name="20% - Accent3 6 2 3 3 3" xfId="22472" xr:uid="{00000000-0005-0000-0000-0000FD120000}"/>
    <cellStyle name="20% - Accent3 6 2 3 4" xfId="10989" xr:uid="{00000000-0005-0000-0000-0000FE120000}"/>
    <cellStyle name="20% - Accent3 6 2 3 5" xfId="18944" xr:uid="{00000000-0005-0000-0000-0000FF120000}"/>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3" xfId="23351" xr:uid="{00000000-0005-0000-0000-000004130000}"/>
    <cellStyle name="20% - Accent3 6 2 4 3" xfId="11867" xr:uid="{00000000-0005-0000-0000-000005130000}"/>
    <cellStyle name="20% - Accent3 6 2 4 4" xfId="19822" xr:uid="{00000000-0005-0000-0000-000006130000}"/>
    <cellStyle name="20% - Accent3 6 2 5" xfId="5662" xr:uid="{00000000-0005-0000-0000-000007130000}"/>
    <cellStyle name="20% - Accent3 6 2 5 2" xfId="13646" xr:uid="{00000000-0005-0000-0000-000008130000}"/>
    <cellStyle name="20% - Accent3 6 2 5 3" xfId="21594" xr:uid="{00000000-0005-0000-0000-000009130000}"/>
    <cellStyle name="20% - Accent3 6 2 6" xfId="9215" xr:uid="{00000000-0005-0000-0000-00000A130000}"/>
    <cellStyle name="20% - Accent3 6 2 6 2" xfId="17173" xr:uid="{00000000-0005-0000-0000-00000B130000}"/>
    <cellStyle name="20% - Accent3 6 2 6 3" xfId="25117" xr:uid="{00000000-0005-0000-0000-00000C130000}"/>
    <cellStyle name="20% - Accent3 6 2 7" xfId="10111" xr:uid="{00000000-0005-0000-0000-00000D130000}"/>
    <cellStyle name="20% - Accent3 6 2 8" xfId="18066" xr:uid="{00000000-0005-0000-0000-00000E130000}"/>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3" xfId="24231" xr:uid="{00000000-0005-0000-0000-000015130000}"/>
    <cellStyle name="20% - Accent3 6 3 2 2 3" xfId="12747" xr:uid="{00000000-0005-0000-0000-000016130000}"/>
    <cellStyle name="20% - Accent3 6 3 2 2 4" xfId="20702" xr:uid="{00000000-0005-0000-0000-000017130000}"/>
    <cellStyle name="20% - Accent3 6 3 2 3" xfId="6555" xr:uid="{00000000-0005-0000-0000-000018130000}"/>
    <cellStyle name="20% - Accent3 6 3 2 3 2" xfId="14527" xr:uid="{00000000-0005-0000-0000-000019130000}"/>
    <cellStyle name="20% - Accent3 6 3 2 3 3" xfId="22474" xr:uid="{00000000-0005-0000-0000-00001A130000}"/>
    <cellStyle name="20% - Accent3 6 3 2 4" xfId="10991" xr:uid="{00000000-0005-0000-0000-00001B130000}"/>
    <cellStyle name="20% - Accent3 6 3 2 5" xfId="18946" xr:uid="{00000000-0005-0000-0000-00001C130000}"/>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3" xfId="23353" xr:uid="{00000000-0005-0000-0000-000021130000}"/>
    <cellStyle name="20% - Accent3 6 3 3 3" xfId="11869" xr:uid="{00000000-0005-0000-0000-000022130000}"/>
    <cellStyle name="20% - Accent3 6 3 3 4" xfId="19824" xr:uid="{00000000-0005-0000-0000-000023130000}"/>
    <cellStyle name="20% - Accent3 6 3 4" xfId="5664" xr:uid="{00000000-0005-0000-0000-000024130000}"/>
    <cellStyle name="20% - Accent3 6 3 4 2" xfId="13648" xr:uid="{00000000-0005-0000-0000-000025130000}"/>
    <cellStyle name="20% - Accent3 6 3 4 3" xfId="21596" xr:uid="{00000000-0005-0000-0000-000026130000}"/>
    <cellStyle name="20% - Accent3 6 3 5" xfId="9217" xr:uid="{00000000-0005-0000-0000-000027130000}"/>
    <cellStyle name="20% - Accent3 6 3 5 2" xfId="17175" xr:uid="{00000000-0005-0000-0000-000028130000}"/>
    <cellStyle name="20% - Accent3 6 3 5 3" xfId="25119" xr:uid="{00000000-0005-0000-0000-000029130000}"/>
    <cellStyle name="20% - Accent3 6 3 6" xfId="10113" xr:uid="{00000000-0005-0000-0000-00002A130000}"/>
    <cellStyle name="20% - Accent3 6 3 7" xfId="18068" xr:uid="{00000000-0005-0000-0000-00002B130000}"/>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3" xfId="24851" xr:uid="{00000000-0005-0000-0000-000032130000}"/>
    <cellStyle name="20% - Accent3 6 4 2 2 3" xfId="13367" xr:uid="{00000000-0005-0000-0000-000033130000}"/>
    <cellStyle name="20% - Accent3 6 4 2 2 4" xfId="21322" xr:uid="{00000000-0005-0000-0000-000034130000}"/>
    <cellStyle name="20% - Accent3 6 4 2 3" xfId="7175" xr:uid="{00000000-0005-0000-0000-000035130000}"/>
    <cellStyle name="20% - Accent3 6 4 2 3 2" xfId="15147" xr:uid="{00000000-0005-0000-0000-000036130000}"/>
    <cellStyle name="20% - Accent3 6 4 2 3 3" xfId="23094" xr:uid="{00000000-0005-0000-0000-000037130000}"/>
    <cellStyle name="20% - Accent3 6 4 2 4" xfId="11611" xr:uid="{00000000-0005-0000-0000-000038130000}"/>
    <cellStyle name="20% - Accent3 6 4 2 5" xfId="19566" xr:uid="{00000000-0005-0000-0000-000039130000}"/>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3" xfId="23973" xr:uid="{00000000-0005-0000-0000-00003E130000}"/>
    <cellStyle name="20% - Accent3 6 4 3 3" xfId="12489" xr:uid="{00000000-0005-0000-0000-00003F130000}"/>
    <cellStyle name="20% - Accent3 6 4 3 4" xfId="20444" xr:uid="{00000000-0005-0000-0000-000040130000}"/>
    <cellStyle name="20% - Accent3 6 4 4" xfId="6294" xr:uid="{00000000-0005-0000-0000-000041130000}"/>
    <cellStyle name="20% - Accent3 6 4 4 2" xfId="14269" xr:uid="{00000000-0005-0000-0000-000042130000}"/>
    <cellStyle name="20% - Accent3 6 4 4 3" xfId="22216" xr:uid="{00000000-0005-0000-0000-000043130000}"/>
    <cellStyle name="20% - Accent3 6 4 5" xfId="9837" xr:uid="{00000000-0005-0000-0000-000044130000}"/>
    <cellStyle name="20% - Accent3 6 4 5 2" xfId="17795" xr:uid="{00000000-0005-0000-0000-000045130000}"/>
    <cellStyle name="20% - Accent3 6 4 5 3" xfId="25739" xr:uid="{00000000-0005-0000-0000-000046130000}"/>
    <cellStyle name="20% - Accent3 6 4 6" xfId="10733" xr:uid="{00000000-0005-0000-0000-000047130000}"/>
    <cellStyle name="20% - Accent3 6 4 7" xfId="18688" xr:uid="{00000000-0005-0000-0000-000048130000}"/>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3" xfId="24228" xr:uid="{00000000-0005-0000-0000-00004E130000}"/>
    <cellStyle name="20% - Accent3 6 5 2 3" xfId="12744" xr:uid="{00000000-0005-0000-0000-00004F130000}"/>
    <cellStyle name="20% - Accent3 6 5 2 4" xfId="20699" xr:uid="{00000000-0005-0000-0000-000050130000}"/>
    <cellStyle name="20% - Accent3 6 5 3" xfId="6552" xr:uid="{00000000-0005-0000-0000-000051130000}"/>
    <cellStyle name="20% - Accent3 6 5 3 2" xfId="14524" xr:uid="{00000000-0005-0000-0000-000052130000}"/>
    <cellStyle name="20% - Accent3 6 5 3 3" xfId="22471" xr:uid="{00000000-0005-0000-0000-000053130000}"/>
    <cellStyle name="20% - Accent3 6 5 4" xfId="10988" xr:uid="{00000000-0005-0000-0000-000054130000}"/>
    <cellStyle name="20% - Accent3 6 5 5" xfId="18943" xr:uid="{00000000-0005-0000-0000-000055130000}"/>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3" xfId="23350" xr:uid="{00000000-0005-0000-0000-00005A130000}"/>
    <cellStyle name="20% - Accent3 6 6 3" xfId="11866" xr:uid="{00000000-0005-0000-0000-00005B130000}"/>
    <cellStyle name="20% - Accent3 6 6 4" xfId="19821" xr:uid="{00000000-0005-0000-0000-00005C130000}"/>
    <cellStyle name="20% - Accent3 6 7" xfId="5661" xr:uid="{00000000-0005-0000-0000-00005D130000}"/>
    <cellStyle name="20% - Accent3 6 7 2" xfId="13645" xr:uid="{00000000-0005-0000-0000-00005E130000}"/>
    <cellStyle name="20% - Accent3 6 7 3" xfId="21593" xr:uid="{00000000-0005-0000-0000-00005F130000}"/>
    <cellStyle name="20% - Accent3 6 8" xfId="9214" xr:uid="{00000000-0005-0000-0000-000060130000}"/>
    <cellStyle name="20% - Accent3 6 8 2" xfId="17172" xr:uid="{00000000-0005-0000-0000-000061130000}"/>
    <cellStyle name="20% - Accent3 6 8 3" xfId="25116" xr:uid="{00000000-0005-0000-0000-000062130000}"/>
    <cellStyle name="20% - Accent3 6 9" xfId="10110" xr:uid="{00000000-0005-0000-0000-000063130000}"/>
    <cellStyle name="20% - Accent3 6_Exh G" xfId="2273" xr:uid="{00000000-0005-0000-0000-000064130000}"/>
    <cellStyle name="20% - Accent3 7" xfId="166" xr:uid="{00000000-0005-0000-0000-000065130000}"/>
    <cellStyle name="20% - Accent3 7 10" xfId="18069" xr:uid="{00000000-0005-0000-0000-000066130000}"/>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3" xfId="24234" xr:uid="{00000000-0005-0000-0000-00006D130000}"/>
    <cellStyle name="20% - Accent3 7 2 2 2 2 3" xfId="12750" xr:uid="{00000000-0005-0000-0000-00006E130000}"/>
    <cellStyle name="20% - Accent3 7 2 2 2 2 4" xfId="20705" xr:uid="{00000000-0005-0000-0000-00006F130000}"/>
    <cellStyle name="20% - Accent3 7 2 2 2 3" xfId="6558" xr:uid="{00000000-0005-0000-0000-000070130000}"/>
    <cellStyle name="20% - Accent3 7 2 2 2 3 2" xfId="14530" xr:uid="{00000000-0005-0000-0000-000071130000}"/>
    <cellStyle name="20% - Accent3 7 2 2 2 3 3" xfId="22477" xr:uid="{00000000-0005-0000-0000-000072130000}"/>
    <cellStyle name="20% - Accent3 7 2 2 2 4" xfId="10994" xr:uid="{00000000-0005-0000-0000-000073130000}"/>
    <cellStyle name="20% - Accent3 7 2 2 2 5" xfId="18949" xr:uid="{00000000-0005-0000-0000-000074130000}"/>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3" xfId="23356" xr:uid="{00000000-0005-0000-0000-000079130000}"/>
    <cellStyle name="20% - Accent3 7 2 2 3 3" xfId="11872" xr:uid="{00000000-0005-0000-0000-00007A130000}"/>
    <cellStyle name="20% - Accent3 7 2 2 3 4" xfId="19827" xr:uid="{00000000-0005-0000-0000-00007B130000}"/>
    <cellStyle name="20% - Accent3 7 2 2 4" xfId="5667" xr:uid="{00000000-0005-0000-0000-00007C130000}"/>
    <cellStyle name="20% - Accent3 7 2 2 4 2" xfId="13651" xr:uid="{00000000-0005-0000-0000-00007D130000}"/>
    <cellStyle name="20% - Accent3 7 2 2 4 3" xfId="21599" xr:uid="{00000000-0005-0000-0000-00007E130000}"/>
    <cellStyle name="20% - Accent3 7 2 2 5" xfId="9220" xr:uid="{00000000-0005-0000-0000-00007F130000}"/>
    <cellStyle name="20% - Accent3 7 2 2 5 2" xfId="17178" xr:uid="{00000000-0005-0000-0000-000080130000}"/>
    <cellStyle name="20% - Accent3 7 2 2 5 3" xfId="25122" xr:uid="{00000000-0005-0000-0000-000081130000}"/>
    <cellStyle name="20% - Accent3 7 2 2 6" xfId="10116" xr:uid="{00000000-0005-0000-0000-000082130000}"/>
    <cellStyle name="20% - Accent3 7 2 2 7" xfId="18071" xr:uid="{00000000-0005-0000-0000-000083130000}"/>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3" xfId="24233" xr:uid="{00000000-0005-0000-0000-000089130000}"/>
    <cellStyle name="20% - Accent3 7 2 3 2 3" xfId="12749" xr:uid="{00000000-0005-0000-0000-00008A130000}"/>
    <cellStyle name="20% - Accent3 7 2 3 2 4" xfId="20704" xr:uid="{00000000-0005-0000-0000-00008B130000}"/>
    <cellStyle name="20% - Accent3 7 2 3 3" xfId="6557" xr:uid="{00000000-0005-0000-0000-00008C130000}"/>
    <cellStyle name="20% - Accent3 7 2 3 3 2" xfId="14529" xr:uid="{00000000-0005-0000-0000-00008D130000}"/>
    <cellStyle name="20% - Accent3 7 2 3 3 3" xfId="22476" xr:uid="{00000000-0005-0000-0000-00008E130000}"/>
    <cellStyle name="20% - Accent3 7 2 3 4" xfId="10993" xr:uid="{00000000-0005-0000-0000-00008F130000}"/>
    <cellStyle name="20% - Accent3 7 2 3 5" xfId="18948" xr:uid="{00000000-0005-0000-0000-000090130000}"/>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3" xfId="23355" xr:uid="{00000000-0005-0000-0000-000095130000}"/>
    <cellStyle name="20% - Accent3 7 2 4 3" xfId="11871" xr:uid="{00000000-0005-0000-0000-000096130000}"/>
    <cellStyle name="20% - Accent3 7 2 4 4" xfId="19826" xr:uid="{00000000-0005-0000-0000-000097130000}"/>
    <cellStyle name="20% - Accent3 7 2 5" xfId="5666" xr:uid="{00000000-0005-0000-0000-000098130000}"/>
    <cellStyle name="20% - Accent3 7 2 5 2" xfId="13650" xr:uid="{00000000-0005-0000-0000-000099130000}"/>
    <cellStyle name="20% - Accent3 7 2 5 3" xfId="21598" xr:uid="{00000000-0005-0000-0000-00009A130000}"/>
    <cellStyle name="20% - Accent3 7 2 6" xfId="9219" xr:uid="{00000000-0005-0000-0000-00009B130000}"/>
    <cellStyle name="20% - Accent3 7 2 6 2" xfId="17177" xr:uid="{00000000-0005-0000-0000-00009C130000}"/>
    <cellStyle name="20% - Accent3 7 2 6 3" xfId="25121" xr:uid="{00000000-0005-0000-0000-00009D130000}"/>
    <cellStyle name="20% - Accent3 7 2 7" xfId="10115" xr:uid="{00000000-0005-0000-0000-00009E130000}"/>
    <cellStyle name="20% - Accent3 7 2 8" xfId="18070" xr:uid="{00000000-0005-0000-0000-00009F13000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3" xfId="24235" xr:uid="{00000000-0005-0000-0000-0000A6130000}"/>
    <cellStyle name="20% - Accent3 7 3 2 2 3" xfId="12751" xr:uid="{00000000-0005-0000-0000-0000A7130000}"/>
    <cellStyle name="20% - Accent3 7 3 2 2 4" xfId="20706" xr:uid="{00000000-0005-0000-0000-0000A8130000}"/>
    <cellStyle name="20% - Accent3 7 3 2 3" xfId="6559" xr:uid="{00000000-0005-0000-0000-0000A9130000}"/>
    <cellStyle name="20% - Accent3 7 3 2 3 2" xfId="14531" xr:uid="{00000000-0005-0000-0000-0000AA130000}"/>
    <cellStyle name="20% - Accent3 7 3 2 3 3" xfId="22478" xr:uid="{00000000-0005-0000-0000-0000AB130000}"/>
    <cellStyle name="20% - Accent3 7 3 2 4" xfId="10995" xr:uid="{00000000-0005-0000-0000-0000AC130000}"/>
    <cellStyle name="20% - Accent3 7 3 2 5" xfId="18950" xr:uid="{00000000-0005-0000-0000-0000AD130000}"/>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3" xfId="23357" xr:uid="{00000000-0005-0000-0000-0000B2130000}"/>
    <cellStyle name="20% - Accent3 7 3 3 3" xfId="11873" xr:uid="{00000000-0005-0000-0000-0000B3130000}"/>
    <cellStyle name="20% - Accent3 7 3 3 4" xfId="19828" xr:uid="{00000000-0005-0000-0000-0000B4130000}"/>
    <cellStyle name="20% - Accent3 7 3 4" xfId="5668" xr:uid="{00000000-0005-0000-0000-0000B5130000}"/>
    <cellStyle name="20% - Accent3 7 3 4 2" xfId="13652" xr:uid="{00000000-0005-0000-0000-0000B6130000}"/>
    <cellStyle name="20% - Accent3 7 3 4 3" xfId="21600" xr:uid="{00000000-0005-0000-0000-0000B7130000}"/>
    <cellStyle name="20% - Accent3 7 3 5" xfId="9221" xr:uid="{00000000-0005-0000-0000-0000B8130000}"/>
    <cellStyle name="20% - Accent3 7 3 5 2" xfId="17179" xr:uid="{00000000-0005-0000-0000-0000B9130000}"/>
    <cellStyle name="20% - Accent3 7 3 5 3" xfId="25123" xr:uid="{00000000-0005-0000-0000-0000BA130000}"/>
    <cellStyle name="20% - Accent3 7 3 6" xfId="10117" xr:uid="{00000000-0005-0000-0000-0000BB130000}"/>
    <cellStyle name="20% - Accent3 7 3 7" xfId="18072" xr:uid="{00000000-0005-0000-0000-0000BC130000}"/>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3" xfId="24852" xr:uid="{00000000-0005-0000-0000-0000C3130000}"/>
    <cellStyle name="20% - Accent3 7 4 2 2 3" xfId="13368" xr:uid="{00000000-0005-0000-0000-0000C4130000}"/>
    <cellStyle name="20% - Accent3 7 4 2 2 4" xfId="21323" xr:uid="{00000000-0005-0000-0000-0000C5130000}"/>
    <cellStyle name="20% - Accent3 7 4 2 3" xfId="7176" xr:uid="{00000000-0005-0000-0000-0000C6130000}"/>
    <cellStyle name="20% - Accent3 7 4 2 3 2" xfId="15148" xr:uid="{00000000-0005-0000-0000-0000C7130000}"/>
    <cellStyle name="20% - Accent3 7 4 2 3 3" xfId="23095" xr:uid="{00000000-0005-0000-0000-0000C8130000}"/>
    <cellStyle name="20% - Accent3 7 4 2 4" xfId="11612" xr:uid="{00000000-0005-0000-0000-0000C9130000}"/>
    <cellStyle name="20% - Accent3 7 4 2 5" xfId="19567" xr:uid="{00000000-0005-0000-0000-0000CA130000}"/>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3" xfId="23974" xr:uid="{00000000-0005-0000-0000-0000CF130000}"/>
    <cellStyle name="20% - Accent3 7 4 3 3" xfId="12490" xr:uid="{00000000-0005-0000-0000-0000D0130000}"/>
    <cellStyle name="20% - Accent3 7 4 3 4" xfId="20445" xr:uid="{00000000-0005-0000-0000-0000D1130000}"/>
    <cellStyle name="20% - Accent3 7 4 4" xfId="6295" xr:uid="{00000000-0005-0000-0000-0000D2130000}"/>
    <cellStyle name="20% - Accent3 7 4 4 2" xfId="14270" xr:uid="{00000000-0005-0000-0000-0000D3130000}"/>
    <cellStyle name="20% - Accent3 7 4 4 3" xfId="22217" xr:uid="{00000000-0005-0000-0000-0000D4130000}"/>
    <cellStyle name="20% - Accent3 7 4 5" xfId="9838" xr:uid="{00000000-0005-0000-0000-0000D5130000}"/>
    <cellStyle name="20% - Accent3 7 4 5 2" xfId="17796" xr:uid="{00000000-0005-0000-0000-0000D6130000}"/>
    <cellStyle name="20% - Accent3 7 4 5 3" xfId="25740" xr:uid="{00000000-0005-0000-0000-0000D7130000}"/>
    <cellStyle name="20% - Accent3 7 4 6" xfId="10734" xr:uid="{00000000-0005-0000-0000-0000D8130000}"/>
    <cellStyle name="20% - Accent3 7 4 7" xfId="18689" xr:uid="{00000000-0005-0000-0000-0000D9130000}"/>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3" xfId="24232" xr:uid="{00000000-0005-0000-0000-0000DF130000}"/>
    <cellStyle name="20% - Accent3 7 5 2 3" xfId="12748" xr:uid="{00000000-0005-0000-0000-0000E0130000}"/>
    <cellStyle name="20% - Accent3 7 5 2 4" xfId="20703" xr:uid="{00000000-0005-0000-0000-0000E1130000}"/>
    <cellStyle name="20% - Accent3 7 5 3" xfId="6556" xr:uid="{00000000-0005-0000-0000-0000E2130000}"/>
    <cellStyle name="20% - Accent3 7 5 3 2" xfId="14528" xr:uid="{00000000-0005-0000-0000-0000E3130000}"/>
    <cellStyle name="20% - Accent3 7 5 3 3" xfId="22475" xr:uid="{00000000-0005-0000-0000-0000E4130000}"/>
    <cellStyle name="20% - Accent3 7 5 4" xfId="10992" xr:uid="{00000000-0005-0000-0000-0000E5130000}"/>
    <cellStyle name="20% - Accent3 7 5 5" xfId="18947" xr:uid="{00000000-0005-0000-0000-0000E6130000}"/>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3" xfId="23354" xr:uid="{00000000-0005-0000-0000-0000EB130000}"/>
    <cellStyle name="20% - Accent3 7 6 3" xfId="11870" xr:uid="{00000000-0005-0000-0000-0000EC130000}"/>
    <cellStyle name="20% - Accent3 7 6 4" xfId="19825" xr:uid="{00000000-0005-0000-0000-0000ED130000}"/>
    <cellStyle name="20% - Accent3 7 7" xfId="5665" xr:uid="{00000000-0005-0000-0000-0000EE130000}"/>
    <cellStyle name="20% - Accent3 7 7 2" xfId="13649" xr:uid="{00000000-0005-0000-0000-0000EF130000}"/>
    <cellStyle name="20% - Accent3 7 7 3" xfId="21597" xr:uid="{00000000-0005-0000-0000-0000F0130000}"/>
    <cellStyle name="20% - Accent3 7 8" xfId="9218" xr:uid="{00000000-0005-0000-0000-0000F1130000}"/>
    <cellStyle name="20% - Accent3 7 8 2" xfId="17176" xr:uid="{00000000-0005-0000-0000-0000F2130000}"/>
    <cellStyle name="20% - Accent3 7 8 3" xfId="25120" xr:uid="{00000000-0005-0000-0000-0000F3130000}"/>
    <cellStyle name="20% - Accent3 7 9" xfId="10114" xr:uid="{00000000-0005-0000-0000-0000F4130000}"/>
    <cellStyle name="20% - Accent3 7_Exh G" xfId="2283" xr:uid="{00000000-0005-0000-0000-0000F5130000}"/>
    <cellStyle name="20% - Accent3 8" xfId="170" xr:uid="{00000000-0005-0000-0000-0000F6130000}"/>
    <cellStyle name="20% - Accent3 8 10" xfId="18073" xr:uid="{00000000-0005-0000-0000-0000F7130000}"/>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3" xfId="24238" xr:uid="{00000000-0005-0000-0000-0000FE130000}"/>
    <cellStyle name="20% - Accent3 8 2 2 2 2 3" xfId="12754" xr:uid="{00000000-0005-0000-0000-0000FF130000}"/>
    <cellStyle name="20% - Accent3 8 2 2 2 2 4" xfId="20709" xr:uid="{00000000-0005-0000-0000-000000140000}"/>
    <cellStyle name="20% - Accent3 8 2 2 2 3" xfId="6562" xr:uid="{00000000-0005-0000-0000-000001140000}"/>
    <cellStyle name="20% - Accent3 8 2 2 2 3 2" xfId="14534" xr:uid="{00000000-0005-0000-0000-000002140000}"/>
    <cellStyle name="20% - Accent3 8 2 2 2 3 3" xfId="22481" xr:uid="{00000000-0005-0000-0000-000003140000}"/>
    <cellStyle name="20% - Accent3 8 2 2 2 4" xfId="10998" xr:uid="{00000000-0005-0000-0000-000004140000}"/>
    <cellStyle name="20% - Accent3 8 2 2 2 5" xfId="18953" xr:uid="{00000000-0005-0000-0000-000005140000}"/>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3" xfId="23360" xr:uid="{00000000-0005-0000-0000-00000A140000}"/>
    <cellStyle name="20% - Accent3 8 2 2 3 3" xfId="11876" xr:uid="{00000000-0005-0000-0000-00000B140000}"/>
    <cellStyle name="20% - Accent3 8 2 2 3 4" xfId="19831" xr:uid="{00000000-0005-0000-0000-00000C140000}"/>
    <cellStyle name="20% - Accent3 8 2 2 4" xfId="5671" xr:uid="{00000000-0005-0000-0000-00000D140000}"/>
    <cellStyle name="20% - Accent3 8 2 2 4 2" xfId="13655" xr:uid="{00000000-0005-0000-0000-00000E140000}"/>
    <cellStyle name="20% - Accent3 8 2 2 4 3" xfId="21603" xr:uid="{00000000-0005-0000-0000-00000F140000}"/>
    <cellStyle name="20% - Accent3 8 2 2 5" xfId="9224" xr:uid="{00000000-0005-0000-0000-000010140000}"/>
    <cellStyle name="20% - Accent3 8 2 2 5 2" xfId="17182" xr:uid="{00000000-0005-0000-0000-000011140000}"/>
    <cellStyle name="20% - Accent3 8 2 2 5 3" xfId="25126" xr:uid="{00000000-0005-0000-0000-000012140000}"/>
    <cellStyle name="20% - Accent3 8 2 2 6" xfId="10120" xr:uid="{00000000-0005-0000-0000-000013140000}"/>
    <cellStyle name="20% - Accent3 8 2 2 7" xfId="18075" xr:uid="{00000000-0005-0000-0000-000014140000}"/>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3" xfId="24237" xr:uid="{00000000-0005-0000-0000-00001A140000}"/>
    <cellStyle name="20% - Accent3 8 2 3 2 3" xfId="12753" xr:uid="{00000000-0005-0000-0000-00001B140000}"/>
    <cellStyle name="20% - Accent3 8 2 3 2 4" xfId="20708" xr:uid="{00000000-0005-0000-0000-00001C140000}"/>
    <cellStyle name="20% - Accent3 8 2 3 3" xfId="6561" xr:uid="{00000000-0005-0000-0000-00001D140000}"/>
    <cellStyle name="20% - Accent3 8 2 3 3 2" xfId="14533" xr:uid="{00000000-0005-0000-0000-00001E140000}"/>
    <cellStyle name="20% - Accent3 8 2 3 3 3" xfId="22480" xr:uid="{00000000-0005-0000-0000-00001F140000}"/>
    <cellStyle name="20% - Accent3 8 2 3 4" xfId="10997" xr:uid="{00000000-0005-0000-0000-000020140000}"/>
    <cellStyle name="20% - Accent3 8 2 3 5" xfId="18952" xr:uid="{00000000-0005-0000-0000-000021140000}"/>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3" xfId="23359" xr:uid="{00000000-0005-0000-0000-000026140000}"/>
    <cellStyle name="20% - Accent3 8 2 4 3" xfId="11875" xr:uid="{00000000-0005-0000-0000-000027140000}"/>
    <cellStyle name="20% - Accent3 8 2 4 4" xfId="19830" xr:uid="{00000000-0005-0000-0000-000028140000}"/>
    <cellStyle name="20% - Accent3 8 2 5" xfId="5670" xr:uid="{00000000-0005-0000-0000-000029140000}"/>
    <cellStyle name="20% - Accent3 8 2 5 2" xfId="13654" xr:uid="{00000000-0005-0000-0000-00002A140000}"/>
    <cellStyle name="20% - Accent3 8 2 5 3" xfId="21602" xr:uid="{00000000-0005-0000-0000-00002B140000}"/>
    <cellStyle name="20% - Accent3 8 2 6" xfId="9223" xr:uid="{00000000-0005-0000-0000-00002C140000}"/>
    <cellStyle name="20% - Accent3 8 2 6 2" xfId="17181" xr:uid="{00000000-0005-0000-0000-00002D140000}"/>
    <cellStyle name="20% - Accent3 8 2 6 3" xfId="25125" xr:uid="{00000000-0005-0000-0000-00002E140000}"/>
    <cellStyle name="20% - Accent3 8 2 7" xfId="10119" xr:uid="{00000000-0005-0000-0000-00002F140000}"/>
    <cellStyle name="20% - Accent3 8 2 8" xfId="18074" xr:uid="{00000000-0005-0000-0000-000030140000}"/>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3" xfId="24239" xr:uid="{00000000-0005-0000-0000-000037140000}"/>
    <cellStyle name="20% - Accent3 8 3 2 2 3" xfId="12755" xr:uid="{00000000-0005-0000-0000-000038140000}"/>
    <cellStyle name="20% - Accent3 8 3 2 2 4" xfId="20710" xr:uid="{00000000-0005-0000-0000-000039140000}"/>
    <cellStyle name="20% - Accent3 8 3 2 3" xfId="6563" xr:uid="{00000000-0005-0000-0000-00003A140000}"/>
    <cellStyle name="20% - Accent3 8 3 2 3 2" xfId="14535" xr:uid="{00000000-0005-0000-0000-00003B140000}"/>
    <cellStyle name="20% - Accent3 8 3 2 3 3" xfId="22482" xr:uid="{00000000-0005-0000-0000-00003C140000}"/>
    <cellStyle name="20% - Accent3 8 3 2 4" xfId="10999" xr:uid="{00000000-0005-0000-0000-00003D140000}"/>
    <cellStyle name="20% - Accent3 8 3 2 5" xfId="18954" xr:uid="{00000000-0005-0000-0000-00003E14000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3" xfId="23361" xr:uid="{00000000-0005-0000-0000-000043140000}"/>
    <cellStyle name="20% - Accent3 8 3 3 3" xfId="11877" xr:uid="{00000000-0005-0000-0000-000044140000}"/>
    <cellStyle name="20% - Accent3 8 3 3 4" xfId="19832" xr:uid="{00000000-0005-0000-0000-000045140000}"/>
    <cellStyle name="20% - Accent3 8 3 4" xfId="5672" xr:uid="{00000000-0005-0000-0000-000046140000}"/>
    <cellStyle name="20% - Accent3 8 3 4 2" xfId="13656" xr:uid="{00000000-0005-0000-0000-000047140000}"/>
    <cellStyle name="20% - Accent3 8 3 4 3" xfId="21604" xr:uid="{00000000-0005-0000-0000-000048140000}"/>
    <cellStyle name="20% - Accent3 8 3 5" xfId="9225" xr:uid="{00000000-0005-0000-0000-000049140000}"/>
    <cellStyle name="20% - Accent3 8 3 5 2" xfId="17183" xr:uid="{00000000-0005-0000-0000-00004A140000}"/>
    <cellStyle name="20% - Accent3 8 3 5 3" xfId="25127" xr:uid="{00000000-0005-0000-0000-00004B140000}"/>
    <cellStyle name="20% - Accent3 8 3 6" xfId="10121" xr:uid="{00000000-0005-0000-0000-00004C140000}"/>
    <cellStyle name="20% - Accent3 8 3 7" xfId="18076" xr:uid="{00000000-0005-0000-0000-00004D140000}"/>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3" xfId="24853" xr:uid="{00000000-0005-0000-0000-000054140000}"/>
    <cellStyle name="20% - Accent3 8 4 2 2 3" xfId="13369" xr:uid="{00000000-0005-0000-0000-000055140000}"/>
    <cellStyle name="20% - Accent3 8 4 2 2 4" xfId="21324" xr:uid="{00000000-0005-0000-0000-000056140000}"/>
    <cellStyle name="20% - Accent3 8 4 2 3" xfId="7177" xr:uid="{00000000-0005-0000-0000-000057140000}"/>
    <cellStyle name="20% - Accent3 8 4 2 3 2" xfId="15149" xr:uid="{00000000-0005-0000-0000-000058140000}"/>
    <cellStyle name="20% - Accent3 8 4 2 3 3" xfId="23096" xr:uid="{00000000-0005-0000-0000-000059140000}"/>
    <cellStyle name="20% - Accent3 8 4 2 4" xfId="11613" xr:uid="{00000000-0005-0000-0000-00005A140000}"/>
    <cellStyle name="20% - Accent3 8 4 2 5" xfId="19568" xr:uid="{00000000-0005-0000-0000-00005B140000}"/>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3" xfId="23975" xr:uid="{00000000-0005-0000-0000-000060140000}"/>
    <cellStyle name="20% - Accent3 8 4 3 3" xfId="12491" xr:uid="{00000000-0005-0000-0000-000061140000}"/>
    <cellStyle name="20% - Accent3 8 4 3 4" xfId="20446" xr:uid="{00000000-0005-0000-0000-000062140000}"/>
    <cellStyle name="20% - Accent3 8 4 4" xfId="6296" xr:uid="{00000000-0005-0000-0000-000063140000}"/>
    <cellStyle name="20% - Accent3 8 4 4 2" xfId="14271" xr:uid="{00000000-0005-0000-0000-000064140000}"/>
    <cellStyle name="20% - Accent3 8 4 4 3" xfId="22218" xr:uid="{00000000-0005-0000-0000-000065140000}"/>
    <cellStyle name="20% - Accent3 8 4 5" xfId="9839" xr:uid="{00000000-0005-0000-0000-000066140000}"/>
    <cellStyle name="20% - Accent3 8 4 5 2" xfId="17797" xr:uid="{00000000-0005-0000-0000-000067140000}"/>
    <cellStyle name="20% - Accent3 8 4 5 3" xfId="25741" xr:uid="{00000000-0005-0000-0000-000068140000}"/>
    <cellStyle name="20% - Accent3 8 4 6" xfId="10735" xr:uid="{00000000-0005-0000-0000-000069140000}"/>
    <cellStyle name="20% - Accent3 8 4 7" xfId="18690" xr:uid="{00000000-0005-0000-0000-00006A140000}"/>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3" xfId="24236" xr:uid="{00000000-0005-0000-0000-000070140000}"/>
    <cellStyle name="20% - Accent3 8 5 2 3" xfId="12752" xr:uid="{00000000-0005-0000-0000-000071140000}"/>
    <cellStyle name="20% - Accent3 8 5 2 4" xfId="20707" xr:uid="{00000000-0005-0000-0000-000072140000}"/>
    <cellStyle name="20% - Accent3 8 5 3" xfId="6560" xr:uid="{00000000-0005-0000-0000-000073140000}"/>
    <cellStyle name="20% - Accent3 8 5 3 2" xfId="14532" xr:uid="{00000000-0005-0000-0000-000074140000}"/>
    <cellStyle name="20% - Accent3 8 5 3 3" xfId="22479" xr:uid="{00000000-0005-0000-0000-000075140000}"/>
    <cellStyle name="20% - Accent3 8 5 4" xfId="10996" xr:uid="{00000000-0005-0000-0000-000076140000}"/>
    <cellStyle name="20% - Accent3 8 5 5" xfId="18951" xr:uid="{00000000-0005-0000-0000-000077140000}"/>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3" xfId="23358" xr:uid="{00000000-0005-0000-0000-00007C140000}"/>
    <cellStyle name="20% - Accent3 8 6 3" xfId="11874" xr:uid="{00000000-0005-0000-0000-00007D140000}"/>
    <cellStyle name="20% - Accent3 8 6 4" xfId="19829" xr:uid="{00000000-0005-0000-0000-00007E140000}"/>
    <cellStyle name="20% - Accent3 8 7" xfId="5669" xr:uid="{00000000-0005-0000-0000-00007F140000}"/>
    <cellStyle name="20% - Accent3 8 7 2" xfId="13653" xr:uid="{00000000-0005-0000-0000-000080140000}"/>
    <cellStyle name="20% - Accent3 8 7 3" xfId="21601" xr:uid="{00000000-0005-0000-0000-000081140000}"/>
    <cellStyle name="20% - Accent3 8 8" xfId="9222" xr:uid="{00000000-0005-0000-0000-000082140000}"/>
    <cellStyle name="20% - Accent3 8 8 2" xfId="17180" xr:uid="{00000000-0005-0000-0000-000083140000}"/>
    <cellStyle name="20% - Accent3 8 8 3" xfId="25124" xr:uid="{00000000-0005-0000-0000-000084140000}"/>
    <cellStyle name="20% - Accent3 8 9" xfId="10118" xr:uid="{00000000-0005-0000-0000-000085140000}"/>
    <cellStyle name="20% - Accent3 8_Exh G" xfId="2293" xr:uid="{00000000-0005-0000-0000-000086140000}"/>
    <cellStyle name="20% - Accent3 9" xfId="174" xr:uid="{00000000-0005-0000-0000-000087140000}"/>
    <cellStyle name="20% - Accent3 9 10" xfId="18077" xr:uid="{00000000-0005-0000-0000-000088140000}"/>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3" xfId="24242" xr:uid="{00000000-0005-0000-0000-00008F140000}"/>
    <cellStyle name="20% - Accent3 9 2 2 2 2 3" xfId="12758" xr:uid="{00000000-0005-0000-0000-000090140000}"/>
    <cellStyle name="20% - Accent3 9 2 2 2 2 4" xfId="20713" xr:uid="{00000000-0005-0000-0000-000091140000}"/>
    <cellStyle name="20% - Accent3 9 2 2 2 3" xfId="6566" xr:uid="{00000000-0005-0000-0000-000092140000}"/>
    <cellStyle name="20% - Accent3 9 2 2 2 3 2" xfId="14538" xr:uid="{00000000-0005-0000-0000-000093140000}"/>
    <cellStyle name="20% - Accent3 9 2 2 2 3 3" xfId="22485" xr:uid="{00000000-0005-0000-0000-000094140000}"/>
    <cellStyle name="20% - Accent3 9 2 2 2 4" xfId="11002" xr:uid="{00000000-0005-0000-0000-000095140000}"/>
    <cellStyle name="20% - Accent3 9 2 2 2 5" xfId="18957" xr:uid="{00000000-0005-0000-0000-000096140000}"/>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3" xfId="23364" xr:uid="{00000000-0005-0000-0000-00009B140000}"/>
    <cellStyle name="20% - Accent3 9 2 2 3 3" xfId="11880" xr:uid="{00000000-0005-0000-0000-00009C140000}"/>
    <cellStyle name="20% - Accent3 9 2 2 3 4" xfId="19835" xr:uid="{00000000-0005-0000-0000-00009D140000}"/>
    <cellStyle name="20% - Accent3 9 2 2 4" xfId="5675" xr:uid="{00000000-0005-0000-0000-00009E140000}"/>
    <cellStyle name="20% - Accent3 9 2 2 4 2" xfId="13659" xr:uid="{00000000-0005-0000-0000-00009F140000}"/>
    <cellStyle name="20% - Accent3 9 2 2 4 3" xfId="21607" xr:uid="{00000000-0005-0000-0000-0000A0140000}"/>
    <cellStyle name="20% - Accent3 9 2 2 5" xfId="9228" xr:uid="{00000000-0005-0000-0000-0000A1140000}"/>
    <cellStyle name="20% - Accent3 9 2 2 5 2" xfId="17186" xr:uid="{00000000-0005-0000-0000-0000A2140000}"/>
    <cellStyle name="20% - Accent3 9 2 2 5 3" xfId="25130" xr:uid="{00000000-0005-0000-0000-0000A3140000}"/>
    <cellStyle name="20% - Accent3 9 2 2 6" xfId="10124" xr:uid="{00000000-0005-0000-0000-0000A4140000}"/>
    <cellStyle name="20% - Accent3 9 2 2 7" xfId="18079" xr:uid="{00000000-0005-0000-0000-0000A5140000}"/>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3" xfId="24241" xr:uid="{00000000-0005-0000-0000-0000AB140000}"/>
    <cellStyle name="20% - Accent3 9 2 3 2 3" xfId="12757" xr:uid="{00000000-0005-0000-0000-0000AC140000}"/>
    <cellStyle name="20% - Accent3 9 2 3 2 4" xfId="20712" xr:uid="{00000000-0005-0000-0000-0000AD140000}"/>
    <cellStyle name="20% - Accent3 9 2 3 3" xfId="6565" xr:uid="{00000000-0005-0000-0000-0000AE140000}"/>
    <cellStyle name="20% - Accent3 9 2 3 3 2" xfId="14537" xr:uid="{00000000-0005-0000-0000-0000AF140000}"/>
    <cellStyle name="20% - Accent3 9 2 3 3 3" xfId="22484" xr:uid="{00000000-0005-0000-0000-0000B0140000}"/>
    <cellStyle name="20% - Accent3 9 2 3 4" xfId="11001" xr:uid="{00000000-0005-0000-0000-0000B1140000}"/>
    <cellStyle name="20% - Accent3 9 2 3 5" xfId="18956" xr:uid="{00000000-0005-0000-0000-0000B2140000}"/>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3" xfId="23363" xr:uid="{00000000-0005-0000-0000-0000B7140000}"/>
    <cellStyle name="20% - Accent3 9 2 4 3" xfId="11879" xr:uid="{00000000-0005-0000-0000-0000B8140000}"/>
    <cellStyle name="20% - Accent3 9 2 4 4" xfId="19834" xr:uid="{00000000-0005-0000-0000-0000B9140000}"/>
    <cellStyle name="20% - Accent3 9 2 5" xfId="5674" xr:uid="{00000000-0005-0000-0000-0000BA140000}"/>
    <cellStyle name="20% - Accent3 9 2 5 2" xfId="13658" xr:uid="{00000000-0005-0000-0000-0000BB140000}"/>
    <cellStyle name="20% - Accent3 9 2 5 3" xfId="21606" xr:uid="{00000000-0005-0000-0000-0000BC140000}"/>
    <cellStyle name="20% - Accent3 9 2 6" xfId="9227" xr:uid="{00000000-0005-0000-0000-0000BD140000}"/>
    <cellStyle name="20% - Accent3 9 2 6 2" xfId="17185" xr:uid="{00000000-0005-0000-0000-0000BE140000}"/>
    <cellStyle name="20% - Accent3 9 2 6 3" xfId="25129" xr:uid="{00000000-0005-0000-0000-0000BF140000}"/>
    <cellStyle name="20% - Accent3 9 2 7" xfId="10123" xr:uid="{00000000-0005-0000-0000-0000C0140000}"/>
    <cellStyle name="20% - Accent3 9 2 8" xfId="18078" xr:uid="{00000000-0005-0000-0000-0000C1140000}"/>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3" xfId="24243" xr:uid="{00000000-0005-0000-0000-0000C8140000}"/>
    <cellStyle name="20% - Accent3 9 3 2 2 3" xfId="12759" xr:uid="{00000000-0005-0000-0000-0000C9140000}"/>
    <cellStyle name="20% - Accent3 9 3 2 2 4" xfId="20714" xr:uid="{00000000-0005-0000-0000-0000CA140000}"/>
    <cellStyle name="20% - Accent3 9 3 2 3" xfId="6567" xr:uid="{00000000-0005-0000-0000-0000CB140000}"/>
    <cellStyle name="20% - Accent3 9 3 2 3 2" xfId="14539" xr:uid="{00000000-0005-0000-0000-0000CC140000}"/>
    <cellStyle name="20% - Accent3 9 3 2 3 3" xfId="22486" xr:uid="{00000000-0005-0000-0000-0000CD140000}"/>
    <cellStyle name="20% - Accent3 9 3 2 4" xfId="11003" xr:uid="{00000000-0005-0000-0000-0000CE140000}"/>
    <cellStyle name="20% - Accent3 9 3 2 5" xfId="18958" xr:uid="{00000000-0005-0000-0000-0000CF140000}"/>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3" xfId="23365" xr:uid="{00000000-0005-0000-0000-0000D4140000}"/>
    <cellStyle name="20% - Accent3 9 3 3 3" xfId="11881" xr:uid="{00000000-0005-0000-0000-0000D5140000}"/>
    <cellStyle name="20% - Accent3 9 3 3 4" xfId="19836" xr:uid="{00000000-0005-0000-0000-0000D6140000}"/>
    <cellStyle name="20% - Accent3 9 3 4" xfId="5676" xr:uid="{00000000-0005-0000-0000-0000D7140000}"/>
    <cellStyle name="20% - Accent3 9 3 4 2" xfId="13660" xr:uid="{00000000-0005-0000-0000-0000D8140000}"/>
    <cellStyle name="20% - Accent3 9 3 4 3" xfId="21608" xr:uid="{00000000-0005-0000-0000-0000D9140000}"/>
    <cellStyle name="20% - Accent3 9 3 5" xfId="9229" xr:uid="{00000000-0005-0000-0000-0000DA140000}"/>
    <cellStyle name="20% - Accent3 9 3 5 2" xfId="17187" xr:uid="{00000000-0005-0000-0000-0000DB140000}"/>
    <cellStyle name="20% - Accent3 9 3 5 3" xfId="25131" xr:uid="{00000000-0005-0000-0000-0000DC140000}"/>
    <cellStyle name="20% - Accent3 9 3 6" xfId="10125" xr:uid="{00000000-0005-0000-0000-0000DD140000}"/>
    <cellStyle name="20% - Accent3 9 3 7" xfId="18080" xr:uid="{00000000-0005-0000-0000-0000DE140000}"/>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3" xfId="24854" xr:uid="{00000000-0005-0000-0000-0000E5140000}"/>
    <cellStyle name="20% - Accent3 9 4 2 2 3" xfId="13370" xr:uid="{00000000-0005-0000-0000-0000E6140000}"/>
    <cellStyle name="20% - Accent3 9 4 2 2 4" xfId="21325" xr:uid="{00000000-0005-0000-0000-0000E7140000}"/>
    <cellStyle name="20% - Accent3 9 4 2 3" xfId="7178" xr:uid="{00000000-0005-0000-0000-0000E8140000}"/>
    <cellStyle name="20% - Accent3 9 4 2 3 2" xfId="15150" xr:uid="{00000000-0005-0000-0000-0000E9140000}"/>
    <cellStyle name="20% - Accent3 9 4 2 3 3" xfId="23097" xr:uid="{00000000-0005-0000-0000-0000EA140000}"/>
    <cellStyle name="20% - Accent3 9 4 2 4" xfId="11614" xr:uid="{00000000-0005-0000-0000-0000EB140000}"/>
    <cellStyle name="20% - Accent3 9 4 2 5" xfId="19569" xr:uid="{00000000-0005-0000-0000-0000EC140000}"/>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3" xfId="23976" xr:uid="{00000000-0005-0000-0000-0000F1140000}"/>
    <cellStyle name="20% - Accent3 9 4 3 3" xfId="12492" xr:uid="{00000000-0005-0000-0000-0000F2140000}"/>
    <cellStyle name="20% - Accent3 9 4 3 4" xfId="20447" xr:uid="{00000000-0005-0000-0000-0000F3140000}"/>
    <cellStyle name="20% - Accent3 9 4 4" xfId="6297" xr:uid="{00000000-0005-0000-0000-0000F4140000}"/>
    <cellStyle name="20% - Accent3 9 4 4 2" xfId="14272" xr:uid="{00000000-0005-0000-0000-0000F5140000}"/>
    <cellStyle name="20% - Accent3 9 4 4 3" xfId="22219" xr:uid="{00000000-0005-0000-0000-0000F6140000}"/>
    <cellStyle name="20% - Accent3 9 4 5" xfId="9840" xr:uid="{00000000-0005-0000-0000-0000F7140000}"/>
    <cellStyle name="20% - Accent3 9 4 5 2" xfId="17798" xr:uid="{00000000-0005-0000-0000-0000F8140000}"/>
    <cellStyle name="20% - Accent3 9 4 5 3" xfId="25742" xr:uid="{00000000-0005-0000-0000-0000F9140000}"/>
    <cellStyle name="20% - Accent3 9 4 6" xfId="10736" xr:uid="{00000000-0005-0000-0000-0000FA140000}"/>
    <cellStyle name="20% - Accent3 9 4 7" xfId="18691" xr:uid="{00000000-0005-0000-0000-0000FB140000}"/>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3" xfId="24240" xr:uid="{00000000-0005-0000-0000-000001150000}"/>
    <cellStyle name="20% - Accent3 9 5 2 3" xfId="12756" xr:uid="{00000000-0005-0000-0000-000002150000}"/>
    <cellStyle name="20% - Accent3 9 5 2 4" xfId="20711" xr:uid="{00000000-0005-0000-0000-000003150000}"/>
    <cellStyle name="20% - Accent3 9 5 3" xfId="6564" xr:uid="{00000000-0005-0000-0000-000004150000}"/>
    <cellStyle name="20% - Accent3 9 5 3 2" xfId="14536" xr:uid="{00000000-0005-0000-0000-000005150000}"/>
    <cellStyle name="20% - Accent3 9 5 3 3" xfId="22483" xr:uid="{00000000-0005-0000-0000-000006150000}"/>
    <cellStyle name="20% - Accent3 9 5 4" xfId="11000" xr:uid="{00000000-0005-0000-0000-000007150000}"/>
    <cellStyle name="20% - Accent3 9 5 5" xfId="18955" xr:uid="{00000000-0005-0000-0000-000008150000}"/>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3" xfId="23362" xr:uid="{00000000-0005-0000-0000-00000D150000}"/>
    <cellStyle name="20% - Accent3 9 6 3" xfId="11878" xr:uid="{00000000-0005-0000-0000-00000E150000}"/>
    <cellStyle name="20% - Accent3 9 6 4" xfId="19833" xr:uid="{00000000-0005-0000-0000-00000F150000}"/>
    <cellStyle name="20% - Accent3 9 7" xfId="5673" xr:uid="{00000000-0005-0000-0000-000010150000}"/>
    <cellStyle name="20% - Accent3 9 7 2" xfId="13657" xr:uid="{00000000-0005-0000-0000-000011150000}"/>
    <cellStyle name="20% - Accent3 9 7 3" xfId="21605" xr:uid="{00000000-0005-0000-0000-000012150000}"/>
    <cellStyle name="20% - Accent3 9 8" xfId="9226" xr:uid="{00000000-0005-0000-0000-000013150000}"/>
    <cellStyle name="20% - Accent3 9 8 2" xfId="17184" xr:uid="{00000000-0005-0000-0000-000014150000}"/>
    <cellStyle name="20% - Accent3 9 8 3" xfId="25128" xr:uid="{00000000-0005-0000-0000-000015150000}"/>
    <cellStyle name="20% - Accent3 9 9" xfId="10122" xr:uid="{00000000-0005-0000-0000-000016150000}"/>
    <cellStyle name="20% - Accent3 9_Exh G" xfId="2303" xr:uid="{00000000-0005-0000-0000-000017150000}"/>
    <cellStyle name="20% - Accent4 10" xfId="178" xr:uid="{00000000-0005-0000-0000-000018150000}"/>
    <cellStyle name="20% - Accent4 10 10" xfId="18081" xr:uid="{00000000-0005-0000-0000-000019150000}"/>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3" xfId="24246" xr:uid="{00000000-0005-0000-0000-000020150000}"/>
    <cellStyle name="20% - Accent4 10 2 2 2 2 3" xfId="12762" xr:uid="{00000000-0005-0000-0000-000021150000}"/>
    <cellStyle name="20% - Accent4 10 2 2 2 2 4" xfId="20717" xr:uid="{00000000-0005-0000-0000-000022150000}"/>
    <cellStyle name="20% - Accent4 10 2 2 2 3" xfId="6570" xr:uid="{00000000-0005-0000-0000-000023150000}"/>
    <cellStyle name="20% - Accent4 10 2 2 2 3 2" xfId="14542" xr:uid="{00000000-0005-0000-0000-000024150000}"/>
    <cellStyle name="20% - Accent4 10 2 2 2 3 3" xfId="22489" xr:uid="{00000000-0005-0000-0000-000025150000}"/>
    <cellStyle name="20% - Accent4 10 2 2 2 4" xfId="11006" xr:uid="{00000000-0005-0000-0000-000026150000}"/>
    <cellStyle name="20% - Accent4 10 2 2 2 5" xfId="18961" xr:uid="{00000000-0005-0000-0000-000027150000}"/>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3" xfId="23368" xr:uid="{00000000-0005-0000-0000-00002C150000}"/>
    <cellStyle name="20% - Accent4 10 2 2 3 3" xfId="11884" xr:uid="{00000000-0005-0000-0000-00002D150000}"/>
    <cellStyle name="20% - Accent4 10 2 2 3 4" xfId="19839" xr:uid="{00000000-0005-0000-0000-00002E150000}"/>
    <cellStyle name="20% - Accent4 10 2 2 4" xfId="5679" xr:uid="{00000000-0005-0000-0000-00002F150000}"/>
    <cellStyle name="20% - Accent4 10 2 2 4 2" xfId="13663" xr:uid="{00000000-0005-0000-0000-000030150000}"/>
    <cellStyle name="20% - Accent4 10 2 2 4 3" xfId="21611" xr:uid="{00000000-0005-0000-0000-000031150000}"/>
    <cellStyle name="20% - Accent4 10 2 2 5" xfId="9232" xr:uid="{00000000-0005-0000-0000-000032150000}"/>
    <cellStyle name="20% - Accent4 10 2 2 5 2" xfId="17190" xr:uid="{00000000-0005-0000-0000-000033150000}"/>
    <cellStyle name="20% - Accent4 10 2 2 5 3" xfId="25134" xr:uid="{00000000-0005-0000-0000-000034150000}"/>
    <cellStyle name="20% - Accent4 10 2 2 6" xfId="10128" xr:uid="{00000000-0005-0000-0000-000035150000}"/>
    <cellStyle name="20% - Accent4 10 2 2 7" xfId="18083" xr:uid="{00000000-0005-0000-0000-000036150000}"/>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3" xfId="24245" xr:uid="{00000000-0005-0000-0000-00003C150000}"/>
    <cellStyle name="20% - Accent4 10 2 3 2 3" xfId="12761" xr:uid="{00000000-0005-0000-0000-00003D150000}"/>
    <cellStyle name="20% - Accent4 10 2 3 2 4" xfId="20716" xr:uid="{00000000-0005-0000-0000-00003E150000}"/>
    <cellStyle name="20% - Accent4 10 2 3 3" xfId="6569" xr:uid="{00000000-0005-0000-0000-00003F150000}"/>
    <cellStyle name="20% - Accent4 10 2 3 3 2" xfId="14541" xr:uid="{00000000-0005-0000-0000-000040150000}"/>
    <cellStyle name="20% - Accent4 10 2 3 3 3" xfId="22488" xr:uid="{00000000-0005-0000-0000-000041150000}"/>
    <cellStyle name="20% - Accent4 10 2 3 4" xfId="11005" xr:uid="{00000000-0005-0000-0000-000042150000}"/>
    <cellStyle name="20% - Accent4 10 2 3 5" xfId="18960" xr:uid="{00000000-0005-0000-0000-000043150000}"/>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3" xfId="23367" xr:uid="{00000000-0005-0000-0000-000048150000}"/>
    <cellStyle name="20% - Accent4 10 2 4 3" xfId="11883" xr:uid="{00000000-0005-0000-0000-000049150000}"/>
    <cellStyle name="20% - Accent4 10 2 4 4" xfId="19838" xr:uid="{00000000-0005-0000-0000-00004A150000}"/>
    <cellStyle name="20% - Accent4 10 2 5" xfId="5678" xr:uid="{00000000-0005-0000-0000-00004B150000}"/>
    <cellStyle name="20% - Accent4 10 2 5 2" xfId="13662" xr:uid="{00000000-0005-0000-0000-00004C150000}"/>
    <cellStyle name="20% - Accent4 10 2 5 3" xfId="21610" xr:uid="{00000000-0005-0000-0000-00004D150000}"/>
    <cellStyle name="20% - Accent4 10 2 6" xfId="9231" xr:uid="{00000000-0005-0000-0000-00004E150000}"/>
    <cellStyle name="20% - Accent4 10 2 6 2" xfId="17189" xr:uid="{00000000-0005-0000-0000-00004F150000}"/>
    <cellStyle name="20% - Accent4 10 2 6 3" xfId="25133" xr:uid="{00000000-0005-0000-0000-000050150000}"/>
    <cellStyle name="20% - Accent4 10 2 7" xfId="10127" xr:uid="{00000000-0005-0000-0000-000051150000}"/>
    <cellStyle name="20% - Accent4 10 2 8" xfId="18082" xr:uid="{00000000-0005-0000-0000-00005215000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3" xfId="24247" xr:uid="{00000000-0005-0000-0000-000059150000}"/>
    <cellStyle name="20% - Accent4 10 3 2 2 3" xfId="12763" xr:uid="{00000000-0005-0000-0000-00005A150000}"/>
    <cellStyle name="20% - Accent4 10 3 2 2 4" xfId="20718" xr:uid="{00000000-0005-0000-0000-00005B150000}"/>
    <cellStyle name="20% - Accent4 10 3 2 3" xfId="6571" xr:uid="{00000000-0005-0000-0000-00005C150000}"/>
    <cellStyle name="20% - Accent4 10 3 2 3 2" xfId="14543" xr:uid="{00000000-0005-0000-0000-00005D150000}"/>
    <cellStyle name="20% - Accent4 10 3 2 3 3" xfId="22490" xr:uid="{00000000-0005-0000-0000-00005E150000}"/>
    <cellStyle name="20% - Accent4 10 3 2 4" xfId="11007" xr:uid="{00000000-0005-0000-0000-00005F150000}"/>
    <cellStyle name="20% - Accent4 10 3 2 5" xfId="18962" xr:uid="{00000000-0005-0000-0000-000060150000}"/>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3" xfId="23369" xr:uid="{00000000-0005-0000-0000-000065150000}"/>
    <cellStyle name="20% - Accent4 10 3 3 3" xfId="11885" xr:uid="{00000000-0005-0000-0000-000066150000}"/>
    <cellStyle name="20% - Accent4 10 3 3 4" xfId="19840" xr:uid="{00000000-0005-0000-0000-000067150000}"/>
    <cellStyle name="20% - Accent4 10 3 4" xfId="5680" xr:uid="{00000000-0005-0000-0000-000068150000}"/>
    <cellStyle name="20% - Accent4 10 3 4 2" xfId="13664" xr:uid="{00000000-0005-0000-0000-000069150000}"/>
    <cellStyle name="20% - Accent4 10 3 4 3" xfId="21612" xr:uid="{00000000-0005-0000-0000-00006A150000}"/>
    <cellStyle name="20% - Accent4 10 3 5" xfId="9233" xr:uid="{00000000-0005-0000-0000-00006B150000}"/>
    <cellStyle name="20% - Accent4 10 3 5 2" xfId="17191" xr:uid="{00000000-0005-0000-0000-00006C150000}"/>
    <cellStyle name="20% - Accent4 10 3 5 3" xfId="25135" xr:uid="{00000000-0005-0000-0000-00006D150000}"/>
    <cellStyle name="20% - Accent4 10 3 6" xfId="10129" xr:uid="{00000000-0005-0000-0000-00006E150000}"/>
    <cellStyle name="20% - Accent4 10 3 7" xfId="18084" xr:uid="{00000000-0005-0000-0000-00006F150000}"/>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3" xfId="24244" xr:uid="{00000000-0005-0000-0000-000076150000}"/>
    <cellStyle name="20% - Accent4 10 5 2 3" xfId="12760" xr:uid="{00000000-0005-0000-0000-000077150000}"/>
    <cellStyle name="20% - Accent4 10 5 2 4" xfId="20715" xr:uid="{00000000-0005-0000-0000-000078150000}"/>
    <cellStyle name="20% - Accent4 10 5 3" xfId="6568" xr:uid="{00000000-0005-0000-0000-000079150000}"/>
    <cellStyle name="20% - Accent4 10 5 3 2" xfId="14540" xr:uid="{00000000-0005-0000-0000-00007A150000}"/>
    <cellStyle name="20% - Accent4 10 5 3 3" xfId="22487" xr:uid="{00000000-0005-0000-0000-00007B150000}"/>
    <cellStyle name="20% - Accent4 10 5 4" xfId="11004" xr:uid="{00000000-0005-0000-0000-00007C150000}"/>
    <cellStyle name="20% - Accent4 10 5 5" xfId="18959" xr:uid="{00000000-0005-0000-0000-00007D150000}"/>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3" xfId="23366" xr:uid="{00000000-0005-0000-0000-000082150000}"/>
    <cellStyle name="20% - Accent4 10 6 3" xfId="11882" xr:uid="{00000000-0005-0000-0000-000083150000}"/>
    <cellStyle name="20% - Accent4 10 6 4" xfId="19837" xr:uid="{00000000-0005-0000-0000-000084150000}"/>
    <cellStyle name="20% - Accent4 10 7" xfId="5677" xr:uid="{00000000-0005-0000-0000-000085150000}"/>
    <cellStyle name="20% - Accent4 10 7 2" xfId="13661" xr:uid="{00000000-0005-0000-0000-000086150000}"/>
    <cellStyle name="20% - Accent4 10 7 3" xfId="21609" xr:uid="{00000000-0005-0000-0000-000087150000}"/>
    <cellStyle name="20% - Accent4 10 8" xfId="9230" xr:uid="{00000000-0005-0000-0000-000088150000}"/>
    <cellStyle name="20% - Accent4 10 8 2" xfId="17188" xr:uid="{00000000-0005-0000-0000-000089150000}"/>
    <cellStyle name="20% - Accent4 10 8 3" xfId="25132" xr:uid="{00000000-0005-0000-0000-00008A150000}"/>
    <cellStyle name="20% - Accent4 10 9" xfId="10126" xr:uid="{00000000-0005-0000-0000-00008B150000}"/>
    <cellStyle name="20% - Accent4 10_Exh G" xfId="2313" xr:uid="{00000000-0005-0000-0000-00008C150000}"/>
    <cellStyle name="20% - Accent4 11" xfId="182" xr:uid="{00000000-0005-0000-0000-00008D150000}"/>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3" xfId="24250" xr:uid="{00000000-0005-0000-0000-000094150000}"/>
    <cellStyle name="20% - Accent4 11 2 2 2 2 3" xfId="12766" xr:uid="{00000000-0005-0000-0000-000095150000}"/>
    <cellStyle name="20% - Accent4 11 2 2 2 2 4" xfId="20721" xr:uid="{00000000-0005-0000-0000-000096150000}"/>
    <cellStyle name="20% - Accent4 11 2 2 2 3" xfId="6574" xr:uid="{00000000-0005-0000-0000-000097150000}"/>
    <cellStyle name="20% - Accent4 11 2 2 2 3 2" xfId="14546" xr:uid="{00000000-0005-0000-0000-000098150000}"/>
    <cellStyle name="20% - Accent4 11 2 2 2 3 3" xfId="22493" xr:uid="{00000000-0005-0000-0000-000099150000}"/>
    <cellStyle name="20% - Accent4 11 2 2 2 4" xfId="11010" xr:uid="{00000000-0005-0000-0000-00009A150000}"/>
    <cellStyle name="20% - Accent4 11 2 2 2 5" xfId="18965" xr:uid="{00000000-0005-0000-0000-00009B150000}"/>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3" xfId="23372" xr:uid="{00000000-0005-0000-0000-0000A0150000}"/>
    <cellStyle name="20% - Accent4 11 2 2 3 3" xfId="11888" xr:uid="{00000000-0005-0000-0000-0000A1150000}"/>
    <cellStyle name="20% - Accent4 11 2 2 3 4" xfId="19843" xr:uid="{00000000-0005-0000-0000-0000A2150000}"/>
    <cellStyle name="20% - Accent4 11 2 2 4" xfId="5683" xr:uid="{00000000-0005-0000-0000-0000A3150000}"/>
    <cellStyle name="20% - Accent4 11 2 2 4 2" xfId="13667" xr:uid="{00000000-0005-0000-0000-0000A4150000}"/>
    <cellStyle name="20% - Accent4 11 2 2 4 3" xfId="21615" xr:uid="{00000000-0005-0000-0000-0000A5150000}"/>
    <cellStyle name="20% - Accent4 11 2 2 5" xfId="9236" xr:uid="{00000000-0005-0000-0000-0000A6150000}"/>
    <cellStyle name="20% - Accent4 11 2 2 5 2" xfId="17194" xr:uid="{00000000-0005-0000-0000-0000A7150000}"/>
    <cellStyle name="20% - Accent4 11 2 2 5 3" xfId="25138" xr:uid="{00000000-0005-0000-0000-0000A8150000}"/>
    <cellStyle name="20% - Accent4 11 2 2 6" xfId="10132" xr:uid="{00000000-0005-0000-0000-0000A9150000}"/>
    <cellStyle name="20% - Accent4 11 2 2 7" xfId="18087" xr:uid="{00000000-0005-0000-0000-0000AA150000}"/>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3" xfId="24249" xr:uid="{00000000-0005-0000-0000-0000B0150000}"/>
    <cellStyle name="20% - Accent4 11 2 3 2 3" xfId="12765" xr:uid="{00000000-0005-0000-0000-0000B1150000}"/>
    <cellStyle name="20% - Accent4 11 2 3 2 4" xfId="20720" xr:uid="{00000000-0005-0000-0000-0000B2150000}"/>
    <cellStyle name="20% - Accent4 11 2 3 3" xfId="6573" xr:uid="{00000000-0005-0000-0000-0000B3150000}"/>
    <cellStyle name="20% - Accent4 11 2 3 3 2" xfId="14545" xr:uid="{00000000-0005-0000-0000-0000B4150000}"/>
    <cellStyle name="20% - Accent4 11 2 3 3 3" xfId="22492" xr:uid="{00000000-0005-0000-0000-0000B5150000}"/>
    <cellStyle name="20% - Accent4 11 2 3 4" xfId="11009" xr:uid="{00000000-0005-0000-0000-0000B6150000}"/>
    <cellStyle name="20% - Accent4 11 2 3 5" xfId="18964" xr:uid="{00000000-0005-0000-0000-0000B7150000}"/>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3" xfId="23371" xr:uid="{00000000-0005-0000-0000-0000BC150000}"/>
    <cellStyle name="20% - Accent4 11 2 4 3" xfId="11887" xr:uid="{00000000-0005-0000-0000-0000BD150000}"/>
    <cellStyle name="20% - Accent4 11 2 4 4" xfId="19842" xr:uid="{00000000-0005-0000-0000-0000BE150000}"/>
    <cellStyle name="20% - Accent4 11 2 5" xfId="5682" xr:uid="{00000000-0005-0000-0000-0000BF150000}"/>
    <cellStyle name="20% - Accent4 11 2 5 2" xfId="13666" xr:uid="{00000000-0005-0000-0000-0000C0150000}"/>
    <cellStyle name="20% - Accent4 11 2 5 3" xfId="21614" xr:uid="{00000000-0005-0000-0000-0000C1150000}"/>
    <cellStyle name="20% - Accent4 11 2 6" xfId="9235" xr:uid="{00000000-0005-0000-0000-0000C2150000}"/>
    <cellStyle name="20% - Accent4 11 2 6 2" xfId="17193" xr:uid="{00000000-0005-0000-0000-0000C3150000}"/>
    <cellStyle name="20% - Accent4 11 2 6 3" xfId="25137" xr:uid="{00000000-0005-0000-0000-0000C4150000}"/>
    <cellStyle name="20% - Accent4 11 2 7" xfId="10131" xr:uid="{00000000-0005-0000-0000-0000C5150000}"/>
    <cellStyle name="20% - Accent4 11 2 8" xfId="18086" xr:uid="{00000000-0005-0000-0000-0000C6150000}"/>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3" xfId="24251" xr:uid="{00000000-0005-0000-0000-0000CD150000}"/>
    <cellStyle name="20% - Accent4 11 3 2 2 3" xfId="12767" xr:uid="{00000000-0005-0000-0000-0000CE150000}"/>
    <cellStyle name="20% - Accent4 11 3 2 2 4" xfId="20722" xr:uid="{00000000-0005-0000-0000-0000CF150000}"/>
    <cellStyle name="20% - Accent4 11 3 2 3" xfId="6575" xr:uid="{00000000-0005-0000-0000-0000D0150000}"/>
    <cellStyle name="20% - Accent4 11 3 2 3 2" xfId="14547" xr:uid="{00000000-0005-0000-0000-0000D1150000}"/>
    <cellStyle name="20% - Accent4 11 3 2 3 3" xfId="22494" xr:uid="{00000000-0005-0000-0000-0000D2150000}"/>
    <cellStyle name="20% - Accent4 11 3 2 4" xfId="11011" xr:uid="{00000000-0005-0000-0000-0000D3150000}"/>
    <cellStyle name="20% - Accent4 11 3 2 5" xfId="18966" xr:uid="{00000000-0005-0000-0000-0000D4150000}"/>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3" xfId="23373" xr:uid="{00000000-0005-0000-0000-0000D9150000}"/>
    <cellStyle name="20% - Accent4 11 3 3 3" xfId="11889" xr:uid="{00000000-0005-0000-0000-0000DA150000}"/>
    <cellStyle name="20% - Accent4 11 3 3 4" xfId="19844" xr:uid="{00000000-0005-0000-0000-0000DB150000}"/>
    <cellStyle name="20% - Accent4 11 3 4" xfId="5684" xr:uid="{00000000-0005-0000-0000-0000DC150000}"/>
    <cellStyle name="20% - Accent4 11 3 4 2" xfId="13668" xr:uid="{00000000-0005-0000-0000-0000DD150000}"/>
    <cellStyle name="20% - Accent4 11 3 4 3" xfId="21616" xr:uid="{00000000-0005-0000-0000-0000DE150000}"/>
    <cellStyle name="20% - Accent4 11 3 5" xfId="9237" xr:uid="{00000000-0005-0000-0000-0000DF150000}"/>
    <cellStyle name="20% - Accent4 11 3 5 2" xfId="17195" xr:uid="{00000000-0005-0000-0000-0000E0150000}"/>
    <cellStyle name="20% - Accent4 11 3 5 3" xfId="25139" xr:uid="{00000000-0005-0000-0000-0000E1150000}"/>
    <cellStyle name="20% - Accent4 11 3 6" xfId="10133" xr:uid="{00000000-0005-0000-0000-0000E2150000}"/>
    <cellStyle name="20% - Accent4 11 3 7" xfId="18088" xr:uid="{00000000-0005-0000-0000-0000E3150000}"/>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3" xfId="24248" xr:uid="{00000000-0005-0000-0000-0000E9150000}"/>
    <cellStyle name="20% - Accent4 11 4 2 3" xfId="12764" xr:uid="{00000000-0005-0000-0000-0000EA150000}"/>
    <cellStyle name="20% - Accent4 11 4 2 4" xfId="20719" xr:uid="{00000000-0005-0000-0000-0000EB150000}"/>
    <cellStyle name="20% - Accent4 11 4 3" xfId="6572" xr:uid="{00000000-0005-0000-0000-0000EC150000}"/>
    <cellStyle name="20% - Accent4 11 4 3 2" xfId="14544" xr:uid="{00000000-0005-0000-0000-0000ED150000}"/>
    <cellStyle name="20% - Accent4 11 4 3 3" xfId="22491" xr:uid="{00000000-0005-0000-0000-0000EE150000}"/>
    <cellStyle name="20% - Accent4 11 4 4" xfId="11008" xr:uid="{00000000-0005-0000-0000-0000EF150000}"/>
    <cellStyle name="20% - Accent4 11 4 5" xfId="18963" xr:uid="{00000000-0005-0000-0000-0000F015000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3" xfId="23370" xr:uid="{00000000-0005-0000-0000-0000F5150000}"/>
    <cellStyle name="20% - Accent4 11 5 3" xfId="11886" xr:uid="{00000000-0005-0000-0000-0000F6150000}"/>
    <cellStyle name="20% - Accent4 11 5 4" xfId="19841" xr:uid="{00000000-0005-0000-0000-0000F7150000}"/>
    <cellStyle name="20% - Accent4 11 6" xfId="5681" xr:uid="{00000000-0005-0000-0000-0000F8150000}"/>
    <cellStyle name="20% - Accent4 11 6 2" xfId="13665" xr:uid="{00000000-0005-0000-0000-0000F9150000}"/>
    <cellStyle name="20% - Accent4 11 6 3" xfId="21613" xr:uid="{00000000-0005-0000-0000-0000FA150000}"/>
    <cellStyle name="20% - Accent4 11 7" xfId="9234" xr:uid="{00000000-0005-0000-0000-0000FB150000}"/>
    <cellStyle name="20% - Accent4 11 7 2" xfId="17192" xr:uid="{00000000-0005-0000-0000-0000FC150000}"/>
    <cellStyle name="20% - Accent4 11 7 3" xfId="25136" xr:uid="{00000000-0005-0000-0000-0000FD150000}"/>
    <cellStyle name="20% - Accent4 11 8" xfId="10130" xr:uid="{00000000-0005-0000-0000-0000FE150000}"/>
    <cellStyle name="20% - Accent4 11 9" xfId="18085" xr:uid="{00000000-0005-0000-0000-0000FF150000}"/>
    <cellStyle name="20% - Accent4 11_Exh G" xfId="2321" xr:uid="{00000000-0005-0000-0000-000000160000}"/>
    <cellStyle name="20% - Accent4 12" xfId="186" xr:uid="{00000000-0005-0000-0000-000001160000}"/>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3" xfId="24254" xr:uid="{00000000-0005-0000-0000-000008160000}"/>
    <cellStyle name="20% - Accent4 12 2 2 2 2 3" xfId="12770" xr:uid="{00000000-0005-0000-0000-000009160000}"/>
    <cellStyle name="20% - Accent4 12 2 2 2 2 4" xfId="20725" xr:uid="{00000000-0005-0000-0000-00000A160000}"/>
    <cellStyle name="20% - Accent4 12 2 2 2 3" xfId="6578" xr:uid="{00000000-0005-0000-0000-00000B160000}"/>
    <cellStyle name="20% - Accent4 12 2 2 2 3 2" xfId="14550" xr:uid="{00000000-0005-0000-0000-00000C160000}"/>
    <cellStyle name="20% - Accent4 12 2 2 2 3 3" xfId="22497" xr:uid="{00000000-0005-0000-0000-00000D160000}"/>
    <cellStyle name="20% - Accent4 12 2 2 2 4" xfId="11014" xr:uid="{00000000-0005-0000-0000-00000E160000}"/>
    <cellStyle name="20% - Accent4 12 2 2 2 5" xfId="18969" xr:uid="{00000000-0005-0000-0000-00000F160000}"/>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3" xfId="23376" xr:uid="{00000000-0005-0000-0000-000014160000}"/>
    <cellStyle name="20% - Accent4 12 2 2 3 3" xfId="11892" xr:uid="{00000000-0005-0000-0000-000015160000}"/>
    <cellStyle name="20% - Accent4 12 2 2 3 4" xfId="19847" xr:uid="{00000000-0005-0000-0000-000016160000}"/>
    <cellStyle name="20% - Accent4 12 2 2 4" xfId="5687" xr:uid="{00000000-0005-0000-0000-000017160000}"/>
    <cellStyle name="20% - Accent4 12 2 2 4 2" xfId="13671" xr:uid="{00000000-0005-0000-0000-000018160000}"/>
    <cellStyle name="20% - Accent4 12 2 2 4 3" xfId="21619" xr:uid="{00000000-0005-0000-0000-000019160000}"/>
    <cellStyle name="20% - Accent4 12 2 2 5" xfId="9240" xr:uid="{00000000-0005-0000-0000-00001A160000}"/>
    <cellStyle name="20% - Accent4 12 2 2 5 2" xfId="17198" xr:uid="{00000000-0005-0000-0000-00001B160000}"/>
    <cellStyle name="20% - Accent4 12 2 2 5 3" xfId="25142" xr:uid="{00000000-0005-0000-0000-00001C160000}"/>
    <cellStyle name="20% - Accent4 12 2 2 6" xfId="10136" xr:uid="{00000000-0005-0000-0000-00001D160000}"/>
    <cellStyle name="20% - Accent4 12 2 2 7" xfId="18091" xr:uid="{00000000-0005-0000-0000-00001E160000}"/>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3" xfId="24253" xr:uid="{00000000-0005-0000-0000-000024160000}"/>
    <cellStyle name="20% - Accent4 12 2 3 2 3" xfId="12769" xr:uid="{00000000-0005-0000-0000-000025160000}"/>
    <cellStyle name="20% - Accent4 12 2 3 2 4" xfId="20724" xr:uid="{00000000-0005-0000-0000-000026160000}"/>
    <cellStyle name="20% - Accent4 12 2 3 3" xfId="6577" xr:uid="{00000000-0005-0000-0000-000027160000}"/>
    <cellStyle name="20% - Accent4 12 2 3 3 2" xfId="14549" xr:uid="{00000000-0005-0000-0000-000028160000}"/>
    <cellStyle name="20% - Accent4 12 2 3 3 3" xfId="22496" xr:uid="{00000000-0005-0000-0000-000029160000}"/>
    <cellStyle name="20% - Accent4 12 2 3 4" xfId="11013" xr:uid="{00000000-0005-0000-0000-00002A160000}"/>
    <cellStyle name="20% - Accent4 12 2 3 5" xfId="18968" xr:uid="{00000000-0005-0000-0000-00002B160000}"/>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3" xfId="23375" xr:uid="{00000000-0005-0000-0000-000030160000}"/>
    <cellStyle name="20% - Accent4 12 2 4 3" xfId="11891" xr:uid="{00000000-0005-0000-0000-000031160000}"/>
    <cellStyle name="20% - Accent4 12 2 4 4" xfId="19846" xr:uid="{00000000-0005-0000-0000-000032160000}"/>
    <cellStyle name="20% - Accent4 12 2 5" xfId="5686" xr:uid="{00000000-0005-0000-0000-000033160000}"/>
    <cellStyle name="20% - Accent4 12 2 5 2" xfId="13670" xr:uid="{00000000-0005-0000-0000-000034160000}"/>
    <cellStyle name="20% - Accent4 12 2 5 3" xfId="21618" xr:uid="{00000000-0005-0000-0000-000035160000}"/>
    <cellStyle name="20% - Accent4 12 2 6" xfId="9239" xr:uid="{00000000-0005-0000-0000-000036160000}"/>
    <cellStyle name="20% - Accent4 12 2 6 2" xfId="17197" xr:uid="{00000000-0005-0000-0000-000037160000}"/>
    <cellStyle name="20% - Accent4 12 2 6 3" xfId="25141" xr:uid="{00000000-0005-0000-0000-000038160000}"/>
    <cellStyle name="20% - Accent4 12 2 7" xfId="10135" xr:uid="{00000000-0005-0000-0000-000039160000}"/>
    <cellStyle name="20% - Accent4 12 2 8" xfId="18090" xr:uid="{00000000-0005-0000-0000-00003A160000}"/>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3" xfId="24255" xr:uid="{00000000-0005-0000-0000-000041160000}"/>
    <cellStyle name="20% - Accent4 12 3 2 2 3" xfId="12771" xr:uid="{00000000-0005-0000-0000-000042160000}"/>
    <cellStyle name="20% - Accent4 12 3 2 2 4" xfId="20726" xr:uid="{00000000-0005-0000-0000-000043160000}"/>
    <cellStyle name="20% - Accent4 12 3 2 3" xfId="6579" xr:uid="{00000000-0005-0000-0000-000044160000}"/>
    <cellStyle name="20% - Accent4 12 3 2 3 2" xfId="14551" xr:uid="{00000000-0005-0000-0000-000045160000}"/>
    <cellStyle name="20% - Accent4 12 3 2 3 3" xfId="22498" xr:uid="{00000000-0005-0000-0000-000046160000}"/>
    <cellStyle name="20% - Accent4 12 3 2 4" xfId="11015" xr:uid="{00000000-0005-0000-0000-000047160000}"/>
    <cellStyle name="20% - Accent4 12 3 2 5" xfId="18970" xr:uid="{00000000-0005-0000-0000-00004816000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3" xfId="23377" xr:uid="{00000000-0005-0000-0000-00004D160000}"/>
    <cellStyle name="20% - Accent4 12 3 3 3" xfId="11893" xr:uid="{00000000-0005-0000-0000-00004E160000}"/>
    <cellStyle name="20% - Accent4 12 3 3 4" xfId="19848" xr:uid="{00000000-0005-0000-0000-00004F160000}"/>
    <cellStyle name="20% - Accent4 12 3 4" xfId="5688" xr:uid="{00000000-0005-0000-0000-000050160000}"/>
    <cellStyle name="20% - Accent4 12 3 4 2" xfId="13672" xr:uid="{00000000-0005-0000-0000-000051160000}"/>
    <cellStyle name="20% - Accent4 12 3 4 3" xfId="21620" xr:uid="{00000000-0005-0000-0000-000052160000}"/>
    <cellStyle name="20% - Accent4 12 3 5" xfId="9241" xr:uid="{00000000-0005-0000-0000-000053160000}"/>
    <cellStyle name="20% - Accent4 12 3 5 2" xfId="17199" xr:uid="{00000000-0005-0000-0000-000054160000}"/>
    <cellStyle name="20% - Accent4 12 3 5 3" xfId="25143" xr:uid="{00000000-0005-0000-0000-000055160000}"/>
    <cellStyle name="20% - Accent4 12 3 6" xfId="10137" xr:uid="{00000000-0005-0000-0000-000056160000}"/>
    <cellStyle name="20% - Accent4 12 3 7" xfId="18092" xr:uid="{00000000-0005-0000-0000-000057160000}"/>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3" xfId="24252" xr:uid="{00000000-0005-0000-0000-00005D160000}"/>
    <cellStyle name="20% - Accent4 12 4 2 3" xfId="12768" xr:uid="{00000000-0005-0000-0000-00005E160000}"/>
    <cellStyle name="20% - Accent4 12 4 2 4" xfId="20723" xr:uid="{00000000-0005-0000-0000-00005F160000}"/>
    <cellStyle name="20% - Accent4 12 4 3" xfId="6576" xr:uid="{00000000-0005-0000-0000-000060160000}"/>
    <cellStyle name="20% - Accent4 12 4 3 2" xfId="14548" xr:uid="{00000000-0005-0000-0000-000061160000}"/>
    <cellStyle name="20% - Accent4 12 4 3 3" xfId="22495" xr:uid="{00000000-0005-0000-0000-000062160000}"/>
    <cellStyle name="20% - Accent4 12 4 4" xfId="11012" xr:uid="{00000000-0005-0000-0000-000063160000}"/>
    <cellStyle name="20% - Accent4 12 4 5" xfId="18967" xr:uid="{00000000-0005-0000-0000-000064160000}"/>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3" xfId="23374" xr:uid="{00000000-0005-0000-0000-000069160000}"/>
    <cellStyle name="20% - Accent4 12 5 3" xfId="11890" xr:uid="{00000000-0005-0000-0000-00006A160000}"/>
    <cellStyle name="20% - Accent4 12 5 4" xfId="19845" xr:uid="{00000000-0005-0000-0000-00006B160000}"/>
    <cellStyle name="20% - Accent4 12 6" xfId="5685" xr:uid="{00000000-0005-0000-0000-00006C160000}"/>
    <cellStyle name="20% - Accent4 12 6 2" xfId="13669" xr:uid="{00000000-0005-0000-0000-00006D160000}"/>
    <cellStyle name="20% - Accent4 12 6 3" xfId="21617" xr:uid="{00000000-0005-0000-0000-00006E160000}"/>
    <cellStyle name="20% - Accent4 12 7" xfId="9238" xr:uid="{00000000-0005-0000-0000-00006F160000}"/>
    <cellStyle name="20% - Accent4 12 7 2" xfId="17196" xr:uid="{00000000-0005-0000-0000-000070160000}"/>
    <cellStyle name="20% - Accent4 12 7 3" xfId="25140" xr:uid="{00000000-0005-0000-0000-000071160000}"/>
    <cellStyle name="20% - Accent4 12 8" xfId="10134" xr:uid="{00000000-0005-0000-0000-000072160000}"/>
    <cellStyle name="20% - Accent4 12 9" xfId="18089" xr:uid="{00000000-0005-0000-0000-000073160000}"/>
    <cellStyle name="20% - Accent4 12_Exh G" xfId="2329" xr:uid="{00000000-0005-0000-0000-000074160000}"/>
    <cellStyle name="20% - Accent4 13" xfId="190" xr:uid="{00000000-0005-0000-0000-000075160000}"/>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3" xfId="24258" xr:uid="{00000000-0005-0000-0000-00007C160000}"/>
    <cellStyle name="20% - Accent4 13 2 2 2 2 3" xfId="12774" xr:uid="{00000000-0005-0000-0000-00007D160000}"/>
    <cellStyle name="20% - Accent4 13 2 2 2 2 4" xfId="20729" xr:uid="{00000000-0005-0000-0000-00007E160000}"/>
    <cellStyle name="20% - Accent4 13 2 2 2 3" xfId="6582" xr:uid="{00000000-0005-0000-0000-00007F160000}"/>
    <cellStyle name="20% - Accent4 13 2 2 2 3 2" xfId="14554" xr:uid="{00000000-0005-0000-0000-000080160000}"/>
    <cellStyle name="20% - Accent4 13 2 2 2 3 3" xfId="22501" xr:uid="{00000000-0005-0000-0000-000081160000}"/>
    <cellStyle name="20% - Accent4 13 2 2 2 4" xfId="11018" xr:uid="{00000000-0005-0000-0000-000082160000}"/>
    <cellStyle name="20% - Accent4 13 2 2 2 5" xfId="18973" xr:uid="{00000000-0005-0000-0000-00008316000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3" xfId="23380" xr:uid="{00000000-0005-0000-0000-000088160000}"/>
    <cellStyle name="20% - Accent4 13 2 2 3 3" xfId="11896" xr:uid="{00000000-0005-0000-0000-000089160000}"/>
    <cellStyle name="20% - Accent4 13 2 2 3 4" xfId="19851" xr:uid="{00000000-0005-0000-0000-00008A160000}"/>
    <cellStyle name="20% - Accent4 13 2 2 4" xfId="5691" xr:uid="{00000000-0005-0000-0000-00008B160000}"/>
    <cellStyle name="20% - Accent4 13 2 2 4 2" xfId="13675" xr:uid="{00000000-0005-0000-0000-00008C160000}"/>
    <cellStyle name="20% - Accent4 13 2 2 4 3" xfId="21623" xr:uid="{00000000-0005-0000-0000-00008D160000}"/>
    <cellStyle name="20% - Accent4 13 2 2 5" xfId="9244" xr:uid="{00000000-0005-0000-0000-00008E160000}"/>
    <cellStyle name="20% - Accent4 13 2 2 5 2" xfId="17202" xr:uid="{00000000-0005-0000-0000-00008F160000}"/>
    <cellStyle name="20% - Accent4 13 2 2 5 3" xfId="25146" xr:uid="{00000000-0005-0000-0000-000090160000}"/>
    <cellStyle name="20% - Accent4 13 2 2 6" xfId="10140" xr:uid="{00000000-0005-0000-0000-000091160000}"/>
    <cellStyle name="20% - Accent4 13 2 2 7" xfId="18095" xr:uid="{00000000-0005-0000-0000-000092160000}"/>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3" xfId="24257" xr:uid="{00000000-0005-0000-0000-000098160000}"/>
    <cellStyle name="20% - Accent4 13 2 3 2 3" xfId="12773" xr:uid="{00000000-0005-0000-0000-000099160000}"/>
    <cellStyle name="20% - Accent4 13 2 3 2 4" xfId="20728" xr:uid="{00000000-0005-0000-0000-00009A160000}"/>
    <cellStyle name="20% - Accent4 13 2 3 3" xfId="6581" xr:uid="{00000000-0005-0000-0000-00009B160000}"/>
    <cellStyle name="20% - Accent4 13 2 3 3 2" xfId="14553" xr:uid="{00000000-0005-0000-0000-00009C160000}"/>
    <cellStyle name="20% - Accent4 13 2 3 3 3" xfId="22500" xr:uid="{00000000-0005-0000-0000-00009D160000}"/>
    <cellStyle name="20% - Accent4 13 2 3 4" xfId="11017" xr:uid="{00000000-0005-0000-0000-00009E160000}"/>
    <cellStyle name="20% - Accent4 13 2 3 5" xfId="18972" xr:uid="{00000000-0005-0000-0000-00009F160000}"/>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3" xfId="23379" xr:uid="{00000000-0005-0000-0000-0000A4160000}"/>
    <cellStyle name="20% - Accent4 13 2 4 3" xfId="11895" xr:uid="{00000000-0005-0000-0000-0000A5160000}"/>
    <cellStyle name="20% - Accent4 13 2 4 4" xfId="19850" xr:uid="{00000000-0005-0000-0000-0000A6160000}"/>
    <cellStyle name="20% - Accent4 13 2 5" xfId="5690" xr:uid="{00000000-0005-0000-0000-0000A7160000}"/>
    <cellStyle name="20% - Accent4 13 2 5 2" xfId="13674" xr:uid="{00000000-0005-0000-0000-0000A8160000}"/>
    <cellStyle name="20% - Accent4 13 2 5 3" xfId="21622" xr:uid="{00000000-0005-0000-0000-0000A9160000}"/>
    <cellStyle name="20% - Accent4 13 2 6" xfId="9243" xr:uid="{00000000-0005-0000-0000-0000AA160000}"/>
    <cellStyle name="20% - Accent4 13 2 6 2" xfId="17201" xr:uid="{00000000-0005-0000-0000-0000AB160000}"/>
    <cellStyle name="20% - Accent4 13 2 6 3" xfId="25145" xr:uid="{00000000-0005-0000-0000-0000AC160000}"/>
    <cellStyle name="20% - Accent4 13 2 7" xfId="10139" xr:uid="{00000000-0005-0000-0000-0000AD160000}"/>
    <cellStyle name="20% - Accent4 13 2 8" xfId="18094" xr:uid="{00000000-0005-0000-0000-0000AE160000}"/>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3" xfId="24259" xr:uid="{00000000-0005-0000-0000-0000B5160000}"/>
    <cellStyle name="20% - Accent4 13 3 2 2 3" xfId="12775" xr:uid="{00000000-0005-0000-0000-0000B6160000}"/>
    <cellStyle name="20% - Accent4 13 3 2 2 4" xfId="20730" xr:uid="{00000000-0005-0000-0000-0000B7160000}"/>
    <cellStyle name="20% - Accent4 13 3 2 3" xfId="6583" xr:uid="{00000000-0005-0000-0000-0000B8160000}"/>
    <cellStyle name="20% - Accent4 13 3 2 3 2" xfId="14555" xr:uid="{00000000-0005-0000-0000-0000B9160000}"/>
    <cellStyle name="20% - Accent4 13 3 2 3 3" xfId="22502" xr:uid="{00000000-0005-0000-0000-0000BA160000}"/>
    <cellStyle name="20% - Accent4 13 3 2 4" xfId="11019" xr:uid="{00000000-0005-0000-0000-0000BB160000}"/>
    <cellStyle name="20% - Accent4 13 3 2 5" xfId="18974" xr:uid="{00000000-0005-0000-0000-0000BC160000}"/>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3" xfId="23381" xr:uid="{00000000-0005-0000-0000-0000C1160000}"/>
    <cellStyle name="20% - Accent4 13 3 3 3" xfId="11897" xr:uid="{00000000-0005-0000-0000-0000C2160000}"/>
    <cellStyle name="20% - Accent4 13 3 3 4" xfId="19852" xr:uid="{00000000-0005-0000-0000-0000C3160000}"/>
    <cellStyle name="20% - Accent4 13 3 4" xfId="5692" xr:uid="{00000000-0005-0000-0000-0000C4160000}"/>
    <cellStyle name="20% - Accent4 13 3 4 2" xfId="13676" xr:uid="{00000000-0005-0000-0000-0000C5160000}"/>
    <cellStyle name="20% - Accent4 13 3 4 3" xfId="21624" xr:uid="{00000000-0005-0000-0000-0000C6160000}"/>
    <cellStyle name="20% - Accent4 13 3 5" xfId="9245" xr:uid="{00000000-0005-0000-0000-0000C7160000}"/>
    <cellStyle name="20% - Accent4 13 3 5 2" xfId="17203" xr:uid="{00000000-0005-0000-0000-0000C8160000}"/>
    <cellStyle name="20% - Accent4 13 3 5 3" xfId="25147" xr:uid="{00000000-0005-0000-0000-0000C9160000}"/>
    <cellStyle name="20% - Accent4 13 3 6" xfId="10141" xr:uid="{00000000-0005-0000-0000-0000CA160000}"/>
    <cellStyle name="20% - Accent4 13 3 7" xfId="18096" xr:uid="{00000000-0005-0000-0000-0000CB160000}"/>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3" xfId="24256" xr:uid="{00000000-0005-0000-0000-0000D1160000}"/>
    <cellStyle name="20% - Accent4 13 4 2 3" xfId="12772" xr:uid="{00000000-0005-0000-0000-0000D2160000}"/>
    <cellStyle name="20% - Accent4 13 4 2 4" xfId="20727" xr:uid="{00000000-0005-0000-0000-0000D3160000}"/>
    <cellStyle name="20% - Accent4 13 4 3" xfId="6580" xr:uid="{00000000-0005-0000-0000-0000D4160000}"/>
    <cellStyle name="20% - Accent4 13 4 3 2" xfId="14552" xr:uid="{00000000-0005-0000-0000-0000D5160000}"/>
    <cellStyle name="20% - Accent4 13 4 3 3" xfId="22499" xr:uid="{00000000-0005-0000-0000-0000D6160000}"/>
    <cellStyle name="20% - Accent4 13 4 4" xfId="11016" xr:uid="{00000000-0005-0000-0000-0000D7160000}"/>
    <cellStyle name="20% - Accent4 13 4 5" xfId="18971" xr:uid="{00000000-0005-0000-0000-0000D8160000}"/>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3" xfId="23378" xr:uid="{00000000-0005-0000-0000-0000DD160000}"/>
    <cellStyle name="20% - Accent4 13 5 3" xfId="11894" xr:uid="{00000000-0005-0000-0000-0000DE160000}"/>
    <cellStyle name="20% - Accent4 13 5 4" xfId="19849" xr:uid="{00000000-0005-0000-0000-0000DF160000}"/>
    <cellStyle name="20% - Accent4 13 6" xfId="5689" xr:uid="{00000000-0005-0000-0000-0000E0160000}"/>
    <cellStyle name="20% - Accent4 13 6 2" xfId="13673" xr:uid="{00000000-0005-0000-0000-0000E1160000}"/>
    <cellStyle name="20% - Accent4 13 6 3" xfId="21621" xr:uid="{00000000-0005-0000-0000-0000E2160000}"/>
    <cellStyle name="20% - Accent4 13 7" xfId="9242" xr:uid="{00000000-0005-0000-0000-0000E3160000}"/>
    <cellStyle name="20% - Accent4 13 7 2" xfId="17200" xr:uid="{00000000-0005-0000-0000-0000E4160000}"/>
    <cellStyle name="20% - Accent4 13 7 3" xfId="25144" xr:uid="{00000000-0005-0000-0000-0000E5160000}"/>
    <cellStyle name="20% - Accent4 13 8" xfId="10138" xr:uid="{00000000-0005-0000-0000-0000E6160000}"/>
    <cellStyle name="20% - Accent4 13 9" xfId="18093" xr:uid="{00000000-0005-0000-0000-0000E7160000}"/>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3" xfId="24261" xr:uid="{00000000-0005-0000-0000-0000EF160000}"/>
    <cellStyle name="20% - Accent4 14 2 2 2 3" xfId="12777" xr:uid="{00000000-0005-0000-0000-0000F0160000}"/>
    <cellStyle name="20% - Accent4 14 2 2 2 4" xfId="20732" xr:uid="{00000000-0005-0000-0000-0000F1160000}"/>
    <cellStyle name="20% - Accent4 14 2 2 3" xfId="6585" xr:uid="{00000000-0005-0000-0000-0000F2160000}"/>
    <cellStyle name="20% - Accent4 14 2 2 3 2" xfId="14557" xr:uid="{00000000-0005-0000-0000-0000F3160000}"/>
    <cellStyle name="20% - Accent4 14 2 2 3 3" xfId="22504" xr:uid="{00000000-0005-0000-0000-0000F4160000}"/>
    <cellStyle name="20% - Accent4 14 2 2 4" xfId="11021" xr:uid="{00000000-0005-0000-0000-0000F5160000}"/>
    <cellStyle name="20% - Accent4 14 2 2 5" xfId="18976" xr:uid="{00000000-0005-0000-0000-0000F6160000}"/>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3" xfId="23383" xr:uid="{00000000-0005-0000-0000-0000FB160000}"/>
    <cellStyle name="20% - Accent4 14 2 3 3" xfId="11899" xr:uid="{00000000-0005-0000-0000-0000FC160000}"/>
    <cellStyle name="20% - Accent4 14 2 3 4" xfId="19854" xr:uid="{00000000-0005-0000-0000-0000FD160000}"/>
    <cellStyle name="20% - Accent4 14 2 4" xfId="5694" xr:uid="{00000000-0005-0000-0000-0000FE160000}"/>
    <cellStyle name="20% - Accent4 14 2 4 2" xfId="13678" xr:uid="{00000000-0005-0000-0000-0000FF160000}"/>
    <cellStyle name="20% - Accent4 14 2 4 3" xfId="21626" xr:uid="{00000000-0005-0000-0000-000000170000}"/>
    <cellStyle name="20% - Accent4 14 2 5" xfId="9247" xr:uid="{00000000-0005-0000-0000-000001170000}"/>
    <cellStyle name="20% - Accent4 14 2 5 2" xfId="17205" xr:uid="{00000000-0005-0000-0000-000002170000}"/>
    <cellStyle name="20% - Accent4 14 2 5 3" xfId="25149" xr:uid="{00000000-0005-0000-0000-000003170000}"/>
    <cellStyle name="20% - Accent4 14 2 6" xfId="10143" xr:uid="{00000000-0005-0000-0000-000004170000}"/>
    <cellStyle name="20% - Accent4 14 2 7" xfId="18098" xr:uid="{00000000-0005-0000-0000-000005170000}"/>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3" xfId="24260" xr:uid="{00000000-0005-0000-0000-00000B170000}"/>
    <cellStyle name="20% - Accent4 14 3 2 3" xfId="12776" xr:uid="{00000000-0005-0000-0000-00000C170000}"/>
    <cellStyle name="20% - Accent4 14 3 2 4" xfId="20731" xr:uid="{00000000-0005-0000-0000-00000D170000}"/>
    <cellStyle name="20% - Accent4 14 3 3" xfId="6584" xr:uid="{00000000-0005-0000-0000-00000E170000}"/>
    <cellStyle name="20% - Accent4 14 3 3 2" xfId="14556" xr:uid="{00000000-0005-0000-0000-00000F170000}"/>
    <cellStyle name="20% - Accent4 14 3 3 3" xfId="22503" xr:uid="{00000000-0005-0000-0000-000010170000}"/>
    <cellStyle name="20% - Accent4 14 3 4" xfId="11020" xr:uid="{00000000-0005-0000-0000-000011170000}"/>
    <cellStyle name="20% - Accent4 14 3 5" xfId="18975" xr:uid="{00000000-0005-0000-0000-000012170000}"/>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3" xfId="23382" xr:uid="{00000000-0005-0000-0000-000017170000}"/>
    <cellStyle name="20% - Accent4 14 4 3" xfId="11898" xr:uid="{00000000-0005-0000-0000-000018170000}"/>
    <cellStyle name="20% - Accent4 14 4 4" xfId="19853" xr:uid="{00000000-0005-0000-0000-000019170000}"/>
    <cellStyle name="20% - Accent4 14 5" xfId="5693" xr:uid="{00000000-0005-0000-0000-00001A170000}"/>
    <cellStyle name="20% - Accent4 14 5 2" xfId="13677" xr:uid="{00000000-0005-0000-0000-00001B170000}"/>
    <cellStyle name="20% - Accent4 14 5 3" xfId="21625" xr:uid="{00000000-0005-0000-0000-00001C170000}"/>
    <cellStyle name="20% - Accent4 14 6" xfId="9246" xr:uid="{00000000-0005-0000-0000-00001D170000}"/>
    <cellStyle name="20% - Accent4 14 6 2" xfId="17204" xr:uid="{00000000-0005-0000-0000-00001E170000}"/>
    <cellStyle name="20% - Accent4 14 6 3" xfId="25148" xr:uid="{00000000-0005-0000-0000-00001F170000}"/>
    <cellStyle name="20% - Accent4 14 7" xfId="10142" xr:uid="{00000000-0005-0000-0000-000020170000}"/>
    <cellStyle name="20% - Accent4 14 8" xfId="18097" xr:uid="{00000000-0005-0000-0000-00002117000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3" xfId="24262" xr:uid="{00000000-0005-0000-0000-000028170000}"/>
    <cellStyle name="20% - Accent4 15 2 2 3" xfId="12778" xr:uid="{00000000-0005-0000-0000-000029170000}"/>
    <cellStyle name="20% - Accent4 15 2 2 4" xfId="20733" xr:uid="{00000000-0005-0000-0000-00002A170000}"/>
    <cellStyle name="20% - Accent4 15 2 3" xfId="6586" xr:uid="{00000000-0005-0000-0000-00002B170000}"/>
    <cellStyle name="20% - Accent4 15 2 3 2" xfId="14558" xr:uid="{00000000-0005-0000-0000-00002C170000}"/>
    <cellStyle name="20% - Accent4 15 2 3 3" xfId="22505" xr:uid="{00000000-0005-0000-0000-00002D170000}"/>
    <cellStyle name="20% - Accent4 15 2 4" xfId="11022" xr:uid="{00000000-0005-0000-0000-00002E170000}"/>
    <cellStyle name="20% - Accent4 15 2 5" xfId="18977" xr:uid="{00000000-0005-0000-0000-00002F170000}"/>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3" xfId="23384" xr:uid="{00000000-0005-0000-0000-000034170000}"/>
    <cellStyle name="20% - Accent4 15 3 3" xfId="11900" xr:uid="{00000000-0005-0000-0000-000035170000}"/>
    <cellStyle name="20% - Accent4 15 3 4" xfId="19855" xr:uid="{00000000-0005-0000-0000-000036170000}"/>
    <cellStyle name="20% - Accent4 15 4" xfId="5695" xr:uid="{00000000-0005-0000-0000-000037170000}"/>
    <cellStyle name="20% - Accent4 15 4 2" xfId="13679" xr:uid="{00000000-0005-0000-0000-000038170000}"/>
    <cellStyle name="20% - Accent4 15 4 3" xfId="21627" xr:uid="{00000000-0005-0000-0000-000039170000}"/>
    <cellStyle name="20% - Accent4 15 5" xfId="9248" xr:uid="{00000000-0005-0000-0000-00003A170000}"/>
    <cellStyle name="20% - Accent4 15 5 2" xfId="17206" xr:uid="{00000000-0005-0000-0000-00003B170000}"/>
    <cellStyle name="20% - Accent4 15 5 3" xfId="25150" xr:uid="{00000000-0005-0000-0000-00003C170000}"/>
    <cellStyle name="20% - Accent4 15 6" xfId="10144" xr:uid="{00000000-0005-0000-0000-00003D170000}"/>
    <cellStyle name="20% - Accent4 15 7" xfId="18099" xr:uid="{00000000-0005-0000-0000-00003E170000}"/>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3" xfId="24814" xr:uid="{00000000-0005-0000-0000-000045170000}"/>
    <cellStyle name="20% - Accent4 16 2 2 3" xfId="13330" xr:uid="{00000000-0005-0000-0000-000046170000}"/>
    <cellStyle name="20% - Accent4 16 2 2 4" xfId="21285" xr:uid="{00000000-0005-0000-0000-000047170000}"/>
    <cellStyle name="20% - Accent4 16 2 3" xfId="7138" xr:uid="{00000000-0005-0000-0000-000048170000}"/>
    <cellStyle name="20% - Accent4 16 2 3 2" xfId="15110" xr:uid="{00000000-0005-0000-0000-000049170000}"/>
    <cellStyle name="20% - Accent4 16 2 3 3" xfId="23057" xr:uid="{00000000-0005-0000-0000-00004A170000}"/>
    <cellStyle name="20% - Accent4 16 2 4" xfId="11574" xr:uid="{00000000-0005-0000-0000-00004B170000}"/>
    <cellStyle name="20% - Accent4 16 2 5" xfId="19529" xr:uid="{00000000-0005-0000-0000-00004C170000}"/>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3" xfId="23936" xr:uid="{00000000-0005-0000-0000-000051170000}"/>
    <cellStyle name="20% - Accent4 16 3 3" xfId="12452" xr:uid="{00000000-0005-0000-0000-000052170000}"/>
    <cellStyle name="20% - Accent4 16 3 4" xfId="20407" xr:uid="{00000000-0005-0000-0000-000053170000}"/>
    <cellStyle name="20% - Accent4 16 4" xfId="6257" xr:uid="{00000000-0005-0000-0000-000054170000}"/>
    <cellStyle name="20% - Accent4 16 4 2" xfId="14232" xr:uid="{00000000-0005-0000-0000-000055170000}"/>
    <cellStyle name="20% - Accent4 16 4 3" xfId="22179" xr:uid="{00000000-0005-0000-0000-000056170000}"/>
    <cellStyle name="20% - Accent4 16 5" xfId="9800" xr:uid="{00000000-0005-0000-0000-000057170000}"/>
    <cellStyle name="20% - Accent4 16 5 2" xfId="17758" xr:uid="{00000000-0005-0000-0000-000058170000}"/>
    <cellStyle name="20% - Accent4 16 5 3" xfId="25702" xr:uid="{00000000-0005-0000-0000-000059170000}"/>
    <cellStyle name="20% - Accent4 16 6" xfId="10696" xr:uid="{00000000-0005-0000-0000-00005A170000}"/>
    <cellStyle name="20% - Accent4 16 7" xfId="18651" xr:uid="{00000000-0005-0000-0000-00005B170000}"/>
    <cellStyle name="20% - Accent4 16_Exh G" xfId="2351" xr:uid="{00000000-0005-0000-0000-00005C170000}"/>
    <cellStyle name="20% - Accent4 2" xfId="197" xr:uid="{00000000-0005-0000-0000-00005D170000}"/>
    <cellStyle name="20% - Accent4 2 10" xfId="18100" xr:uid="{00000000-0005-0000-0000-00005E170000}"/>
    <cellStyle name="20% - Accent4 2 2" xfId="198" xr:uid="{00000000-0005-0000-0000-00005F170000}"/>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3" xfId="24265" xr:uid="{00000000-0005-0000-0000-000065170000}"/>
    <cellStyle name="20% - Accent4 2 2 2 2 2 3" xfId="12781" xr:uid="{00000000-0005-0000-0000-000066170000}"/>
    <cellStyle name="20% - Accent4 2 2 2 2 2 4" xfId="20736" xr:uid="{00000000-0005-0000-0000-000067170000}"/>
    <cellStyle name="20% - Accent4 2 2 2 2 3" xfId="6589" xr:uid="{00000000-0005-0000-0000-000068170000}"/>
    <cellStyle name="20% - Accent4 2 2 2 2 3 2" xfId="14561" xr:uid="{00000000-0005-0000-0000-000069170000}"/>
    <cellStyle name="20% - Accent4 2 2 2 2 3 3" xfId="22508" xr:uid="{00000000-0005-0000-0000-00006A170000}"/>
    <cellStyle name="20% - Accent4 2 2 2 2 4" xfId="11025" xr:uid="{00000000-0005-0000-0000-00006B170000}"/>
    <cellStyle name="20% - Accent4 2 2 2 2 5" xfId="18980" xr:uid="{00000000-0005-0000-0000-00006C170000}"/>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3" xfId="23387" xr:uid="{00000000-0005-0000-0000-000071170000}"/>
    <cellStyle name="20% - Accent4 2 2 2 3 3" xfId="11903" xr:uid="{00000000-0005-0000-0000-000072170000}"/>
    <cellStyle name="20% - Accent4 2 2 2 3 4" xfId="19858" xr:uid="{00000000-0005-0000-0000-000073170000}"/>
    <cellStyle name="20% - Accent4 2 2 2 4" xfId="5698" xr:uid="{00000000-0005-0000-0000-000074170000}"/>
    <cellStyle name="20% - Accent4 2 2 2 4 2" xfId="13682" xr:uid="{00000000-0005-0000-0000-000075170000}"/>
    <cellStyle name="20% - Accent4 2 2 2 4 3" xfId="21630" xr:uid="{00000000-0005-0000-0000-000076170000}"/>
    <cellStyle name="20% - Accent4 2 2 2 5" xfId="9251" xr:uid="{00000000-0005-0000-0000-000077170000}"/>
    <cellStyle name="20% - Accent4 2 2 2 5 2" xfId="17209" xr:uid="{00000000-0005-0000-0000-000078170000}"/>
    <cellStyle name="20% - Accent4 2 2 2 5 3" xfId="25153" xr:uid="{00000000-0005-0000-0000-000079170000}"/>
    <cellStyle name="20% - Accent4 2 2 2 6" xfId="10147" xr:uid="{00000000-0005-0000-0000-00007A170000}"/>
    <cellStyle name="20% - Accent4 2 2 2 7" xfId="18102" xr:uid="{00000000-0005-0000-0000-00007B170000}"/>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3" xfId="24856" xr:uid="{00000000-0005-0000-0000-000082170000}"/>
    <cellStyle name="20% - Accent4 2 2 3 2 2 3" xfId="13372" xr:uid="{00000000-0005-0000-0000-000083170000}"/>
    <cellStyle name="20% - Accent4 2 2 3 2 2 4" xfId="21327" xr:uid="{00000000-0005-0000-0000-000084170000}"/>
    <cellStyle name="20% - Accent4 2 2 3 2 3" xfId="7180" xr:uid="{00000000-0005-0000-0000-000085170000}"/>
    <cellStyle name="20% - Accent4 2 2 3 2 3 2" xfId="15152" xr:uid="{00000000-0005-0000-0000-000086170000}"/>
    <cellStyle name="20% - Accent4 2 2 3 2 3 3" xfId="23099" xr:uid="{00000000-0005-0000-0000-000087170000}"/>
    <cellStyle name="20% - Accent4 2 2 3 2 4" xfId="11616" xr:uid="{00000000-0005-0000-0000-000088170000}"/>
    <cellStyle name="20% - Accent4 2 2 3 2 5" xfId="19571" xr:uid="{00000000-0005-0000-0000-000089170000}"/>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3" xfId="23978" xr:uid="{00000000-0005-0000-0000-00008E170000}"/>
    <cellStyle name="20% - Accent4 2 2 3 3 3" xfId="12494" xr:uid="{00000000-0005-0000-0000-00008F170000}"/>
    <cellStyle name="20% - Accent4 2 2 3 3 4" xfId="20449" xr:uid="{00000000-0005-0000-0000-000090170000}"/>
    <cellStyle name="20% - Accent4 2 2 3 4" xfId="6299" xr:uid="{00000000-0005-0000-0000-000091170000}"/>
    <cellStyle name="20% - Accent4 2 2 3 4 2" xfId="14274" xr:uid="{00000000-0005-0000-0000-000092170000}"/>
    <cellStyle name="20% - Accent4 2 2 3 4 3" xfId="22221" xr:uid="{00000000-0005-0000-0000-000093170000}"/>
    <cellStyle name="20% - Accent4 2 2 3 5" xfId="9842" xr:uid="{00000000-0005-0000-0000-000094170000}"/>
    <cellStyle name="20% - Accent4 2 2 3 5 2" xfId="17800" xr:uid="{00000000-0005-0000-0000-000095170000}"/>
    <cellStyle name="20% - Accent4 2 2 3 5 3" xfId="25744" xr:uid="{00000000-0005-0000-0000-000096170000}"/>
    <cellStyle name="20% - Accent4 2 2 3 6" xfId="10738" xr:uid="{00000000-0005-0000-0000-000097170000}"/>
    <cellStyle name="20% - Accent4 2 2 3 7" xfId="18693" xr:uid="{00000000-0005-0000-0000-00009817000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3" xfId="24264" xr:uid="{00000000-0005-0000-0000-00009E170000}"/>
    <cellStyle name="20% - Accent4 2 2 4 2 3" xfId="12780" xr:uid="{00000000-0005-0000-0000-00009F170000}"/>
    <cellStyle name="20% - Accent4 2 2 4 2 4" xfId="20735" xr:uid="{00000000-0005-0000-0000-0000A0170000}"/>
    <cellStyle name="20% - Accent4 2 2 4 3" xfId="6588" xr:uid="{00000000-0005-0000-0000-0000A1170000}"/>
    <cellStyle name="20% - Accent4 2 2 4 3 2" xfId="14560" xr:uid="{00000000-0005-0000-0000-0000A2170000}"/>
    <cellStyle name="20% - Accent4 2 2 4 3 3" xfId="22507" xr:uid="{00000000-0005-0000-0000-0000A3170000}"/>
    <cellStyle name="20% - Accent4 2 2 4 4" xfId="11024" xr:uid="{00000000-0005-0000-0000-0000A4170000}"/>
    <cellStyle name="20% - Accent4 2 2 4 5" xfId="18979" xr:uid="{00000000-0005-0000-0000-0000A5170000}"/>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3" xfId="23386" xr:uid="{00000000-0005-0000-0000-0000AA170000}"/>
    <cellStyle name="20% - Accent4 2 2 5 3" xfId="11902" xr:uid="{00000000-0005-0000-0000-0000AB170000}"/>
    <cellStyle name="20% - Accent4 2 2 5 4" xfId="19857" xr:uid="{00000000-0005-0000-0000-0000AC170000}"/>
    <cellStyle name="20% - Accent4 2 2 6" xfId="5697" xr:uid="{00000000-0005-0000-0000-0000AD170000}"/>
    <cellStyle name="20% - Accent4 2 2 6 2" xfId="13681" xr:uid="{00000000-0005-0000-0000-0000AE170000}"/>
    <cellStyle name="20% - Accent4 2 2 6 3" xfId="21629" xr:uid="{00000000-0005-0000-0000-0000AF170000}"/>
    <cellStyle name="20% - Accent4 2 2 7" xfId="9250" xr:uid="{00000000-0005-0000-0000-0000B0170000}"/>
    <cellStyle name="20% - Accent4 2 2 7 2" xfId="17208" xr:uid="{00000000-0005-0000-0000-0000B1170000}"/>
    <cellStyle name="20% - Accent4 2 2 7 3" xfId="25152" xr:uid="{00000000-0005-0000-0000-0000B2170000}"/>
    <cellStyle name="20% - Accent4 2 2 8" xfId="10146" xr:uid="{00000000-0005-0000-0000-0000B3170000}"/>
    <cellStyle name="20% - Accent4 2 2 9" xfId="18101" xr:uid="{00000000-0005-0000-0000-0000B4170000}"/>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3" xfId="24266" xr:uid="{00000000-0005-0000-0000-0000BB170000}"/>
    <cellStyle name="20% - Accent4 2 3 2 2 3" xfId="12782" xr:uid="{00000000-0005-0000-0000-0000BC170000}"/>
    <cellStyle name="20% - Accent4 2 3 2 2 4" xfId="20737" xr:uid="{00000000-0005-0000-0000-0000BD170000}"/>
    <cellStyle name="20% - Accent4 2 3 2 3" xfId="6590" xr:uid="{00000000-0005-0000-0000-0000BE170000}"/>
    <cellStyle name="20% - Accent4 2 3 2 3 2" xfId="14562" xr:uid="{00000000-0005-0000-0000-0000BF170000}"/>
    <cellStyle name="20% - Accent4 2 3 2 3 3" xfId="22509" xr:uid="{00000000-0005-0000-0000-0000C0170000}"/>
    <cellStyle name="20% - Accent4 2 3 2 4" xfId="11026" xr:uid="{00000000-0005-0000-0000-0000C1170000}"/>
    <cellStyle name="20% - Accent4 2 3 2 5" xfId="18981" xr:uid="{00000000-0005-0000-0000-0000C2170000}"/>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3" xfId="23388" xr:uid="{00000000-0005-0000-0000-0000C7170000}"/>
    <cellStyle name="20% - Accent4 2 3 3 3" xfId="11904" xr:uid="{00000000-0005-0000-0000-0000C8170000}"/>
    <cellStyle name="20% - Accent4 2 3 3 4" xfId="19859" xr:uid="{00000000-0005-0000-0000-0000C9170000}"/>
    <cellStyle name="20% - Accent4 2 3 4" xfId="5699" xr:uid="{00000000-0005-0000-0000-0000CA170000}"/>
    <cellStyle name="20% - Accent4 2 3 4 2" xfId="13683" xr:uid="{00000000-0005-0000-0000-0000CB170000}"/>
    <cellStyle name="20% - Accent4 2 3 4 3" xfId="21631" xr:uid="{00000000-0005-0000-0000-0000CC170000}"/>
    <cellStyle name="20% - Accent4 2 3 5" xfId="9252" xr:uid="{00000000-0005-0000-0000-0000CD170000}"/>
    <cellStyle name="20% - Accent4 2 3 5 2" xfId="17210" xr:uid="{00000000-0005-0000-0000-0000CE170000}"/>
    <cellStyle name="20% - Accent4 2 3 5 3" xfId="25154" xr:uid="{00000000-0005-0000-0000-0000CF170000}"/>
    <cellStyle name="20% - Accent4 2 3 6" xfId="10148" xr:uid="{00000000-0005-0000-0000-0000D0170000}"/>
    <cellStyle name="20% - Accent4 2 3 7" xfId="18103" xr:uid="{00000000-0005-0000-0000-0000D117000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3" xfId="24855" xr:uid="{00000000-0005-0000-0000-0000D8170000}"/>
    <cellStyle name="20% - Accent4 2 4 2 2 3" xfId="13371" xr:uid="{00000000-0005-0000-0000-0000D9170000}"/>
    <cellStyle name="20% - Accent4 2 4 2 2 4" xfId="21326" xr:uid="{00000000-0005-0000-0000-0000DA170000}"/>
    <cellStyle name="20% - Accent4 2 4 2 3" xfId="7179" xr:uid="{00000000-0005-0000-0000-0000DB170000}"/>
    <cellStyle name="20% - Accent4 2 4 2 3 2" xfId="15151" xr:uid="{00000000-0005-0000-0000-0000DC170000}"/>
    <cellStyle name="20% - Accent4 2 4 2 3 3" xfId="23098" xr:uid="{00000000-0005-0000-0000-0000DD170000}"/>
    <cellStyle name="20% - Accent4 2 4 2 4" xfId="11615" xr:uid="{00000000-0005-0000-0000-0000DE170000}"/>
    <cellStyle name="20% - Accent4 2 4 2 5" xfId="19570" xr:uid="{00000000-0005-0000-0000-0000DF170000}"/>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3" xfId="23977" xr:uid="{00000000-0005-0000-0000-0000E4170000}"/>
    <cellStyle name="20% - Accent4 2 4 3 3" xfId="12493" xr:uid="{00000000-0005-0000-0000-0000E5170000}"/>
    <cellStyle name="20% - Accent4 2 4 3 4" xfId="20448" xr:uid="{00000000-0005-0000-0000-0000E6170000}"/>
    <cellStyle name="20% - Accent4 2 4 4" xfId="6298" xr:uid="{00000000-0005-0000-0000-0000E7170000}"/>
    <cellStyle name="20% - Accent4 2 4 4 2" xfId="14273" xr:uid="{00000000-0005-0000-0000-0000E8170000}"/>
    <cellStyle name="20% - Accent4 2 4 4 3" xfId="22220" xr:uid="{00000000-0005-0000-0000-0000E9170000}"/>
    <cellStyle name="20% - Accent4 2 4 5" xfId="9841" xr:uid="{00000000-0005-0000-0000-0000EA170000}"/>
    <cellStyle name="20% - Accent4 2 4 5 2" xfId="17799" xr:uid="{00000000-0005-0000-0000-0000EB170000}"/>
    <cellStyle name="20% - Accent4 2 4 5 3" xfId="25743" xr:uid="{00000000-0005-0000-0000-0000EC170000}"/>
    <cellStyle name="20% - Accent4 2 4 6" xfId="10737" xr:uid="{00000000-0005-0000-0000-0000ED170000}"/>
    <cellStyle name="20% - Accent4 2 4 7" xfId="18692" xr:uid="{00000000-0005-0000-0000-0000EE170000}"/>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3" xfId="24263" xr:uid="{00000000-0005-0000-0000-0000F4170000}"/>
    <cellStyle name="20% - Accent4 2 5 2 3" xfId="12779" xr:uid="{00000000-0005-0000-0000-0000F5170000}"/>
    <cellStyle name="20% - Accent4 2 5 2 4" xfId="20734" xr:uid="{00000000-0005-0000-0000-0000F6170000}"/>
    <cellStyle name="20% - Accent4 2 5 3" xfId="6587" xr:uid="{00000000-0005-0000-0000-0000F7170000}"/>
    <cellStyle name="20% - Accent4 2 5 3 2" xfId="14559" xr:uid="{00000000-0005-0000-0000-0000F8170000}"/>
    <cellStyle name="20% - Accent4 2 5 3 3" xfId="22506" xr:uid="{00000000-0005-0000-0000-0000F9170000}"/>
    <cellStyle name="20% - Accent4 2 5 4" xfId="11023" xr:uid="{00000000-0005-0000-0000-0000FA170000}"/>
    <cellStyle name="20% - Accent4 2 5 5" xfId="18978" xr:uid="{00000000-0005-0000-0000-0000FB17000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3" xfId="23385" xr:uid="{00000000-0005-0000-0000-000000180000}"/>
    <cellStyle name="20% - Accent4 2 6 3" xfId="11901" xr:uid="{00000000-0005-0000-0000-000001180000}"/>
    <cellStyle name="20% - Accent4 2 6 4" xfId="19856" xr:uid="{00000000-0005-0000-0000-000002180000}"/>
    <cellStyle name="20% - Accent4 2 7" xfId="5696" xr:uid="{00000000-0005-0000-0000-000003180000}"/>
    <cellStyle name="20% - Accent4 2 7 2" xfId="13680" xr:uid="{00000000-0005-0000-0000-000004180000}"/>
    <cellStyle name="20% - Accent4 2 7 3" xfId="21628" xr:uid="{00000000-0005-0000-0000-000005180000}"/>
    <cellStyle name="20% - Accent4 2 8" xfId="9249" xr:uid="{00000000-0005-0000-0000-000006180000}"/>
    <cellStyle name="20% - Accent4 2 8 2" xfId="17207" xr:uid="{00000000-0005-0000-0000-000007180000}"/>
    <cellStyle name="20% - Accent4 2 8 3" xfId="25151" xr:uid="{00000000-0005-0000-0000-000008180000}"/>
    <cellStyle name="20% - Accent4 2 9" xfId="10145" xr:uid="{00000000-0005-0000-0000-000009180000}"/>
    <cellStyle name="20% - Accent4 2_Exh G" xfId="2353" xr:uid="{00000000-0005-0000-0000-00000A180000}"/>
    <cellStyle name="20% - Accent4 3" xfId="201" xr:uid="{00000000-0005-0000-0000-00000B180000}"/>
    <cellStyle name="20% - Accent4 3 10" xfId="18104" xr:uid="{00000000-0005-0000-0000-00000C180000}"/>
    <cellStyle name="20% - Accent4 3 2" xfId="202" xr:uid="{00000000-0005-0000-0000-00000D180000}"/>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3" xfId="24269" xr:uid="{00000000-0005-0000-0000-000013180000}"/>
    <cellStyle name="20% - Accent4 3 2 2 2 2 3" xfId="12785" xr:uid="{00000000-0005-0000-0000-000014180000}"/>
    <cellStyle name="20% - Accent4 3 2 2 2 2 4" xfId="20740" xr:uid="{00000000-0005-0000-0000-000015180000}"/>
    <cellStyle name="20% - Accent4 3 2 2 2 3" xfId="6593" xr:uid="{00000000-0005-0000-0000-000016180000}"/>
    <cellStyle name="20% - Accent4 3 2 2 2 3 2" xfId="14565" xr:uid="{00000000-0005-0000-0000-000017180000}"/>
    <cellStyle name="20% - Accent4 3 2 2 2 3 3" xfId="22512" xr:uid="{00000000-0005-0000-0000-000018180000}"/>
    <cellStyle name="20% - Accent4 3 2 2 2 4" xfId="11029" xr:uid="{00000000-0005-0000-0000-000019180000}"/>
    <cellStyle name="20% - Accent4 3 2 2 2 5" xfId="18984" xr:uid="{00000000-0005-0000-0000-00001A180000}"/>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3" xfId="23391" xr:uid="{00000000-0005-0000-0000-00001F180000}"/>
    <cellStyle name="20% - Accent4 3 2 2 3 3" xfId="11907" xr:uid="{00000000-0005-0000-0000-000020180000}"/>
    <cellStyle name="20% - Accent4 3 2 2 3 4" xfId="19862" xr:uid="{00000000-0005-0000-0000-000021180000}"/>
    <cellStyle name="20% - Accent4 3 2 2 4" xfId="5702" xr:uid="{00000000-0005-0000-0000-000022180000}"/>
    <cellStyle name="20% - Accent4 3 2 2 4 2" xfId="13686" xr:uid="{00000000-0005-0000-0000-000023180000}"/>
    <cellStyle name="20% - Accent4 3 2 2 4 3" xfId="21634" xr:uid="{00000000-0005-0000-0000-000024180000}"/>
    <cellStyle name="20% - Accent4 3 2 2 5" xfId="9255" xr:uid="{00000000-0005-0000-0000-000025180000}"/>
    <cellStyle name="20% - Accent4 3 2 2 5 2" xfId="17213" xr:uid="{00000000-0005-0000-0000-000026180000}"/>
    <cellStyle name="20% - Accent4 3 2 2 5 3" xfId="25157" xr:uid="{00000000-0005-0000-0000-000027180000}"/>
    <cellStyle name="20% - Accent4 3 2 2 6" xfId="10151" xr:uid="{00000000-0005-0000-0000-000028180000}"/>
    <cellStyle name="20% - Accent4 3 2 2 7" xfId="18106" xr:uid="{00000000-0005-0000-0000-000029180000}"/>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3" xfId="24858" xr:uid="{00000000-0005-0000-0000-000030180000}"/>
    <cellStyle name="20% - Accent4 3 2 3 2 2 3" xfId="13374" xr:uid="{00000000-0005-0000-0000-000031180000}"/>
    <cellStyle name="20% - Accent4 3 2 3 2 2 4" xfId="21329" xr:uid="{00000000-0005-0000-0000-000032180000}"/>
    <cellStyle name="20% - Accent4 3 2 3 2 3" xfId="7182" xr:uid="{00000000-0005-0000-0000-000033180000}"/>
    <cellStyle name="20% - Accent4 3 2 3 2 3 2" xfId="15154" xr:uid="{00000000-0005-0000-0000-000034180000}"/>
    <cellStyle name="20% - Accent4 3 2 3 2 3 3" xfId="23101" xr:uid="{00000000-0005-0000-0000-000035180000}"/>
    <cellStyle name="20% - Accent4 3 2 3 2 4" xfId="11618" xr:uid="{00000000-0005-0000-0000-000036180000}"/>
    <cellStyle name="20% - Accent4 3 2 3 2 5" xfId="19573" xr:uid="{00000000-0005-0000-0000-000037180000}"/>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3" xfId="23980" xr:uid="{00000000-0005-0000-0000-00003C180000}"/>
    <cellStyle name="20% - Accent4 3 2 3 3 3" xfId="12496" xr:uid="{00000000-0005-0000-0000-00003D180000}"/>
    <cellStyle name="20% - Accent4 3 2 3 3 4" xfId="20451" xr:uid="{00000000-0005-0000-0000-00003E180000}"/>
    <cellStyle name="20% - Accent4 3 2 3 4" xfId="6301" xr:uid="{00000000-0005-0000-0000-00003F180000}"/>
    <cellStyle name="20% - Accent4 3 2 3 4 2" xfId="14276" xr:uid="{00000000-0005-0000-0000-000040180000}"/>
    <cellStyle name="20% - Accent4 3 2 3 4 3" xfId="22223" xr:uid="{00000000-0005-0000-0000-000041180000}"/>
    <cellStyle name="20% - Accent4 3 2 3 5" xfId="9844" xr:uid="{00000000-0005-0000-0000-000042180000}"/>
    <cellStyle name="20% - Accent4 3 2 3 5 2" xfId="17802" xr:uid="{00000000-0005-0000-0000-000043180000}"/>
    <cellStyle name="20% - Accent4 3 2 3 5 3" xfId="25746" xr:uid="{00000000-0005-0000-0000-000044180000}"/>
    <cellStyle name="20% - Accent4 3 2 3 6" xfId="10740" xr:uid="{00000000-0005-0000-0000-000045180000}"/>
    <cellStyle name="20% - Accent4 3 2 3 7" xfId="18695" xr:uid="{00000000-0005-0000-0000-000046180000}"/>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3" xfId="24268" xr:uid="{00000000-0005-0000-0000-00004C180000}"/>
    <cellStyle name="20% - Accent4 3 2 4 2 3" xfId="12784" xr:uid="{00000000-0005-0000-0000-00004D180000}"/>
    <cellStyle name="20% - Accent4 3 2 4 2 4" xfId="20739" xr:uid="{00000000-0005-0000-0000-00004E180000}"/>
    <cellStyle name="20% - Accent4 3 2 4 3" xfId="6592" xr:uid="{00000000-0005-0000-0000-00004F180000}"/>
    <cellStyle name="20% - Accent4 3 2 4 3 2" xfId="14564" xr:uid="{00000000-0005-0000-0000-000050180000}"/>
    <cellStyle name="20% - Accent4 3 2 4 3 3" xfId="22511" xr:uid="{00000000-0005-0000-0000-000051180000}"/>
    <cellStyle name="20% - Accent4 3 2 4 4" xfId="11028" xr:uid="{00000000-0005-0000-0000-000052180000}"/>
    <cellStyle name="20% - Accent4 3 2 4 5" xfId="18983" xr:uid="{00000000-0005-0000-0000-000053180000}"/>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3" xfId="23390" xr:uid="{00000000-0005-0000-0000-000058180000}"/>
    <cellStyle name="20% - Accent4 3 2 5 3" xfId="11906" xr:uid="{00000000-0005-0000-0000-000059180000}"/>
    <cellStyle name="20% - Accent4 3 2 5 4" xfId="19861" xr:uid="{00000000-0005-0000-0000-00005A180000}"/>
    <cellStyle name="20% - Accent4 3 2 6" xfId="5701" xr:uid="{00000000-0005-0000-0000-00005B180000}"/>
    <cellStyle name="20% - Accent4 3 2 6 2" xfId="13685" xr:uid="{00000000-0005-0000-0000-00005C180000}"/>
    <cellStyle name="20% - Accent4 3 2 6 3" xfId="21633" xr:uid="{00000000-0005-0000-0000-00005D180000}"/>
    <cellStyle name="20% - Accent4 3 2 7" xfId="9254" xr:uid="{00000000-0005-0000-0000-00005E180000}"/>
    <cellStyle name="20% - Accent4 3 2 7 2" xfId="17212" xr:uid="{00000000-0005-0000-0000-00005F180000}"/>
    <cellStyle name="20% - Accent4 3 2 7 3" xfId="25156" xr:uid="{00000000-0005-0000-0000-000060180000}"/>
    <cellStyle name="20% - Accent4 3 2 8" xfId="10150" xr:uid="{00000000-0005-0000-0000-000061180000}"/>
    <cellStyle name="20% - Accent4 3 2 9" xfId="18105" xr:uid="{00000000-0005-0000-0000-000062180000}"/>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3" xfId="24270" xr:uid="{00000000-0005-0000-0000-000069180000}"/>
    <cellStyle name="20% - Accent4 3 3 2 2 3" xfId="12786" xr:uid="{00000000-0005-0000-0000-00006A180000}"/>
    <cellStyle name="20% - Accent4 3 3 2 2 4" xfId="20741" xr:uid="{00000000-0005-0000-0000-00006B180000}"/>
    <cellStyle name="20% - Accent4 3 3 2 3" xfId="6594" xr:uid="{00000000-0005-0000-0000-00006C180000}"/>
    <cellStyle name="20% - Accent4 3 3 2 3 2" xfId="14566" xr:uid="{00000000-0005-0000-0000-00006D180000}"/>
    <cellStyle name="20% - Accent4 3 3 2 3 3" xfId="22513" xr:uid="{00000000-0005-0000-0000-00006E180000}"/>
    <cellStyle name="20% - Accent4 3 3 2 4" xfId="11030" xr:uid="{00000000-0005-0000-0000-00006F180000}"/>
    <cellStyle name="20% - Accent4 3 3 2 5" xfId="18985" xr:uid="{00000000-0005-0000-0000-000070180000}"/>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3" xfId="23392" xr:uid="{00000000-0005-0000-0000-000075180000}"/>
    <cellStyle name="20% - Accent4 3 3 3 3" xfId="11908" xr:uid="{00000000-0005-0000-0000-000076180000}"/>
    <cellStyle name="20% - Accent4 3 3 3 4" xfId="19863" xr:uid="{00000000-0005-0000-0000-000077180000}"/>
    <cellStyle name="20% - Accent4 3 3 4" xfId="5703" xr:uid="{00000000-0005-0000-0000-000078180000}"/>
    <cellStyle name="20% - Accent4 3 3 4 2" xfId="13687" xr:uid="{00000000-0005-0000-0000-000079180000}"/>
    <cellStyle name="20% - Accent4 3 3 4 3" xfId="21635" xr:uid="{00000000-0005-0000-0000-00007A180000}"/>
    <cellStyle name="20% - Accent4 3 3 5" xfId="9256" xr:uid="{00000000-0005-0000-0000-00007B180000}"/>
    <cellStyle name="20% - Accent4 3 3 5 2" xfId="17214" xr:uid="{00000000-0005-0000-0000-00007C180000}"/>
    <cellStyle name="20% - Accent4 3 3 5 3" xfId="25158" xr:uid="{00000000-0005-0000-0000-00007D180000}"/>
    <cellStyle name="20% - Accent4 3 3 6" xfId="10152" xr:uid="{00000000-0005-0000-0000-00007E180000}"/>
    <cellStyle name="20% - Accent4 3 3 7" xfId="18107" xr:uid="{00000000-0005-0000-0000-00007F180000}"/>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3" xfId="24857" xr:uid="{00000000-0005-0000-0000-000086180000}"/>
    <cellStyle name="20% - Accent4 3 4 2 2 3" xfId="13373" xr:uid="{00000000-0005-0000-0000-000087180000}"/>
    <cellStyle name="20% - Accent4 3 4 2 2 4" xfId="21328" xr:uid="{00000000-0005-0000-0000-000088180000}"/>
    <cellStyle name="20% - Accent4 3 4 2 3" xfId="7181" xr:uid="{00000000-0005-0000-0000-000089180000}"/>
    <cellStyle name="20% - Accent4 3 4 2 3 2" xfId="15153" xr:uid="{00000000-0005-0000-0000-00008A180000}"/>
    <cellStyle name="20% - Accent4 3 4 2 3 3" xfId="23100" xr:uid="{00000000-0005-0000-0000-00008B180000}"/>
    <cellStyle name="20% - Accent4 3 4 2 4" xfId="11617" xr:uid="{00000000-0005-0000-0000-00008C180000}"/>
    <cellStyle name="20% - Accent4 3 4 2 5" xfId="19572" xr:uid="{00000000-0005-0000-0000-00008D180000}"/>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3" xfId="23979" xr:uid="{00000000-0005-0000-0000-000092180000}"/>
    <cellStyle name="20% - Accent4 3 4 3 3" xfId="12495" xr:uid="{00000000-0005-0000-0000-000093180000}"/>
    <cellStyle name="20% - Accent4 3 4 3 4" xfId="20450" xr:uid="{00000000-0005-0000-0000-000094180000}"/>
    <cellStyle name="20% - Accent4 3 4 4" xfId="6300" xr:uid="{00000000-0005-0000-0000-000095180000}"/>
    <cellStyle name="20% - Accent4 3 4 4 2" xfId="14275" xr:uid="{00000000-0005-0000-0000-000096180000}"/>
    <cellStyle name="20% - Accent4 3 4 4 3" xfId="22222" xr:uid="{00000000-0005-0000-0000-000097180000}"/>
    <cellStyle name="20% - Accent4 3 4 5" xfId="9843" xr:uid="{00000000-0005-0000-0000-000098180000}"/>
    <cellStyle name="20% - Accent4 3 4 5 2" xfId="17801" xr:uid="{00000000-0005-0000-0000-000099180000}"/>
    <cellStyle name="20% - Accent4 3 4 5 3" xfId="25745" xr:uid="{00000000-0005-0000-0000-00009A180000}"/>
    <cellStyle name="20% - Accent4 3 4 6" xfId="10739" xr:uid="{00000000-0005-0000-0000-00009B180000}"/>
    <cellStyle name="20% - Accent4 3 4 7" xfId="18694" xr:uid="{00000000-0005-0000-0000-00009C180000}"/>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3" xfId="24267" xr:uid="{00000000-0005-0000-0000-0000A2180000}"/>
    <cellStyle name="20% - Accent4 3 5 2 3" xfId="12783" xr:uid="{00000000-0005-0000-0000-0000A3180000}"/>
    <cellStyle name="20% - Accent4 3 5 2 4" xfId="20738" xr:uid="{00000000-0005-0000-0000-0000A4180000}"/>
    <cellStyle name="20% - Accent4 3 5 3" xfId="6591" xr:uid="{00000000-0005-0000-0000-0000A5180000}"/>
    <cellStyle name="20% - Accent4 3 5 3 2" xfId="14563" xr:uid="{00000000-0005-0000-0000-0000A6180000}"/>
    <cellStyle name="20% - Accent4 3 5 3 3" xfId="22510" xr:uid="{00000000-0005-0000-0000-0000A7180000}"/>
    <cellStyle name="20% - Accent4 3 5 4" xfId="11027" xr:uid="{00000000-0005-0000-0000-0000A8180000}"/>
    <cellStyle name="20% - Accent4 3 5 5" xfId="18982" xr:uid="{00000000-0005-0000-0000-0000A9180000}"/>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3" xfId="23389" xr:uid="{00000000-0005-0000-0000-0000AE180000}"/>
    <cellStyle name="20% - Accent4 3 6 3" xfId="11905" xr:uid="{00000000-0005-0000-0000-0000AF180000}"/>
    <cellStyle name="20% - Accent4 3 6 4" xfId="19860" xr:uid="{00000000-0005-0000-0000-0000B0180000}"/>
    <cellStyle name="20% - Accent4 3 7" xfId="5700" xr:uid="{00000000-0005-0000-0000-0000B1180000}"/>
    <cellStyle name="20% - Accent4 3 7 2" xfId="13684" xr:uid="{00000000-0005-0000-0000-0000B2180000}"/>
    <cellStyle name="20% - Accent4 3 7 3" xfId="21632" xr:uid="{00000000-0005-0000-0000-0000B3180000}"/>
    <cellStyle name="20% - Accent4 3 8" xfId="9253" xr:uid="{00000000-0005-0000-0000-0000B4180000}"/>
    <cellStyle name="20% - Accent4 3 8 2" xfId="17211" xr:uid="{00000000-0005-0000-0000-0000B5180000}"/>
    <cellStyle name="20% - Accent4 3 8 3" xfId="25155" xr:uid="{00000000-0005-0000-0000-0000B6180000}"/>
    <cellStyle name="20% - Accent4 3 9" xfId="10149" xr:uid="{00000000-0005-0000-0000-0000B7180000}"/>
    <cellStyle name="20% - Accent4 3_Exh G" xfId="2365" xr:uid="{00000000-0005-0000-0000-0000B8180000}"/>
    <cellStyle name="20% - Accent4 4" xfId="205" xr:uid="{00000000-0005-0000-0000-0000B9180000}"/>
    <cellStyle name="20% - Accent4 4 10" xfId="18108" xr:uid="{00000000-0005-0000-0000-0000BA180000}"/>
    <cellStyle name="20% - Accent4 4 2" xfId="206" xr:uid="{00000000-0005-0000-0000-0000BB180000}"/>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3" xfId="24273" xr:uid="{00000000-0005-0000-0000-0000C1180000}"/>
    <cellStyle name="20% - Accent4 4 2 2 2 2 3" xfId="12789" xr:uid="{00000000-0005-0000-0000-0000C2180000}"/>
    <cellStyle name="20% - Accent4 4 2 2 2 2 4" xfId="20744" xr:uid="{00000000-0005-0000-0000-0000C3180000}"/>
    <cellStyle name="20% - Accent4 4 2 2 2 3" xfId="6597" xr:uid="{00000000-0005-0000-0000-0000C4180000}"/>
    <cellStyle name="20% - Accent4 4 2 2 2 3 2" xfId="14569" xr:uid="{00000000-0005-0000-0000-0000C5180000}"/>
    <cellStyle name="20% - Accent4 4 2 2 2 3 3" xfId="22516" xr:uid="{00000000-0005-0000-0000-0000C6180000}"/>
    <cellStyle name="20% - Accent4 4 2 2 2 4" xfId="11033" xr:uid="{00000000-0005-0000-0000-0000C7180000}"/>
    <cellStyle name="20% - Accent4 4 2 2 2 5" xfId="18988" xr:uid="{00000000-0005-0000-0000-0000C8180000}"/>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3" xfId="23395" xr:uid="{00000000-0005-0000-0000-0000CD180000}"/>
    <cellStyle name="20% - Accent4 4 2 2 3 3" xfId="11911" xr:uid="{00000000-0005-0000-0000-0000CE180000}"/>
    <cellStyle name="20% - Accent4 4 2 2 3 4" xfId="19866" xr:uid="{00000000-0005-0000-0000-0000CF180000}"/>
    <cellStyle name="20% - Accent4 4 2 2 4" xfId="5706" xr:uid="{00000000-0005-0000-0000-0000D0180000}"/>
    <cellStyle name="20% - Accent4 4 2 2 4 2" xfId="13690" xr:uid="{00000000-0005-0000-0000-0000D1180000}"/>
    <cellStyle name="20% - Accent4 4 2 2 4 3" xfId="21638" xr:uid="{00000000-0005-0000-0000-0000D2180000}"/>
    <cellStyle name="20% - Accent4 4 2 2 5" xfId="9259" xr:uid="{00000000-0005-0000-0000-0000D3180000}"/>
    <cellStyle name="20% - Accent4 4 2 2 5 2" xfId="17217" xr:uid="{00000000-0005-0000-0000-0000D4180000}"/>
    <cellStyle name="20% - Accent4 4 2 2 5 3" xfId="25161" xr:uid="{00000000-0005-0000-0000-0000D5180000}"/>
    <cellStyle name="20% - Accent4 4 2 2 6" xfId="10155" xr:uid="{00000000-0005-0000-0000-0000D6180000}"/>
    <cellStyle name="20% - Accent4 4 2 2 7" xfId="18110" xr:uid="{00000000-0005-0000-0000-0000D7180000}"/>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3" xfId="24860" xr:uid="{00000000-0005-0000-0000-0000DE180000}"/>
    <cellStyle name="20% - Accent4 4 2 3 2 2 3" xfId="13376" xr:uid="{00000000-0005-0000-0000-0000DF180000}"/>
    <cellStyle name="20% - Accent4 4 2 3 2 2 4" xfId="21331" xr:uid="{00000000-0005-0000-0000-0000E0180000}"/>
    <cellStyle name="20% - Accent4 4 2 3 2 3" xfId="7184" xr:uid="{00000000-0005-0000-0000-0000E1180000}"/>
    <cellStyle name="20% - Accent4 4 2 3 2 3 2" xfId="15156" xr:uid="{00000000-0005-0000-0000-0000E2180000}"/>
    <cellStyle name="20% - Accent4 4 2 3 2 3 3" xfId="23103" xr:uid="{00000000-0005-0000-0000-0000E3180000}"/>
    <cellStyle name="20% - Accent4 4 2 3 2 4" xfId="11620" xr:uid="{00000000-0005-0000-0000-0000E4180000}"/>
    <cellStyle name="20% - Accent4 4 2 3 2 5" xfId="19575" xr:uid="{00000000-0005-0000-0000-0000E5180000}"/>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3" xfId="23982" xr:uid="{00000000-0005-0000-0000-0000EA180000}"/>
    <cellStyle name="20% - Accent4 4 2 3 3 3" xfId="12498" xr:uid="{00000000-0005-0000-0000-0000EB180000}"/>
    <cellStyle name="20% - Accent4 4 2 3 3 4" xfId="20453" xr:uid="{00000000-0005-0000-0000-0000EC180000}"/>
    <cellStyle name="20% - Accent4 4 2 3 4" xfId="6303" xr:uid="{00000000-0005-0000-0000-0000ED180000}"/>
    <cellStyle name="20% - Accent4 4 2 3 4 2" xfId="14278" xr:uid="{00000000-0005-0000-0000-0000EE180000}"/>
    <cellStyle name="20% - Accent4 4 2 3 4 3" xfId="22225" xr:uid="{00000000-0005-0000-0000-0000EF180000}"/>
    <cellStyle name="20% - Accent4 4 2 3 5" xfId="9846" xr:uid="{00000000-0005-0000-0000-0000F0180000}"/>
    <cellStyle name="20% - Accent4 4 2 3 5 2" xfId="17804" xr:uid="{00000000-0005-0000-0000-0000F1180000}"/>
    <cellStyle name="20% - Accent4 4 2 3 5 3" xfId="25748" xr:uid="{00000000-0005-0000-0000-0000F2180000}"/>
    <cellStyle name="20% - Accent4 4 2 3 6" xfId="10742" xr:uid="{00000000-0005-0000-0000-0000F3180000}"/>
    <cellStyle name="20% - Accent4 4 2 3 7" xfId="18697" xr:uid="{00000000-0005-0000-0000-0000F4180000}"/>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3" xfId="24272" xr:uid="{00000000-0005-0000-0000-0000FA180000}"/>
    <cellStyle name="20% - Accent4 4 2 4 2 3" xfId="12788" xr:uid="{00000000-0005-0000-0000-0000FB180000}"/>
    <cellStyle name="20% - Accent4 4 2 4 2 4" xfId="20743" xr:uid="{00000000-0005-0000-0000-0000FC180000}"/>
    <cellStyle name="20% - Accent4 4 2 4 3" xfId="6596" xr:uid="{00000000-0005-0000-0000-0000FD180000}"/>
    <cellStyle name="20% - Accent4 4 2 4 3 2" xfId="14568" xr:uid="{00000000-0005-0000-0000-0000FE180000}"/>
    <cellStyle name="20% - Accent4 4 2 4 3 3" xfId="22515" xr:uid="{00000000-0005-0000-0000-0000FF180000}"/>
    <cellStyle name="20% - Accent4 4 2 4 4" xfId="11032" xr:uid="{00000000-0005-0000-0000-000000190000}"/>
    <cellStyle name="20% - Accent4 4 2 4 5" xfId="18987" xr:uid="{00000000-0005-0000-0000-000001190000}"/>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3" xfId="23394" xr:uid="{00000000-0005-0000-0000-000006190000}"/>
    <cellStyle name="20% - Accent4 4 2 5 3" xfId="11910" xr:uid="{00000000-0005-0000-0000-000007190000}"/>
    <cellStyle name="20% - Accent4 4 2 5 4" xfId="19865" xr:uid="{00000000-0005-0000-0000-000008190000}"/>
    <cellStyle name="20% - Accent4 4 2 6" xfId="5705" xr:uid="{00000000-0005-0000-0000-000009190000}"/>
    <cellStyle name="20% - Accent4 4 2 6 2" xfId="13689" xr:uid="{00000000-0005-0000-0000-00000A190000}"/>
    <cellStyle name="20% - Accent4 4 2 6 3" xfId="21637" xr:uid="{00000000-0005-0000-0000-00000B190000}"/>
    <cellStyle name="20% - Accent4 4 2 7" xfId="9258" xr:uid="{00000000-0005-0000-0000-00000C190000}"/>
    <cellStyle name="20% - Accent4 4 2 7 2" xfId="17216" xr:uid="{00000000-0005-0000-0000-00000D190000}"/>
    <cellStyle name="20% - Accent4 4 2 7 3" xfId="25160" xr:uid="{00000000-0005-0000-0000-00000E190000}"/>
    <cellStyle name="20% - Accent4 4 2 8" xfId="10154" xr:uid="{00000000-0005-0000-0000-00000F190000}"/>
    <cellStyle name="20% - Accent4 4 2 9" xfId="18109" xr:uid="{00000000-0005-0000-0000-000010190000}"/>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3" xfId="24274" xr:uid="{00000000-0005-0000-0000-000017190000}"/>
    <cellStyle name="20% - Accent4 4 3 2 2 3" xfId="12790" xr:uid="{00000000-0005-0000-0000-000018190000}"/>
    <cellStyle name="20% - Accent4 4 3 2 2 4" xfId="20745" xr:uid="{00000000-0005-0000-0000-000019190000}"/>
    <cellStyle name="20% - Accent4 4 3 2 3" xfId="6598" xr:uid="{00000000-0005-0000-0000-00001A190000}"/>
    <cellStyle name="20% - Accent4 4 3 2 3 2" xfId="14570" xr:uid="{00000000-0005-0000-0000-00001B190000}"/>
    <cellStyle name="20% - Accent4 4 3 2 3 3" xfId="22517" xr:uid="{00000000-0005-0000-0000-00001C190000}"/>
    <cellStyle name="20% - Accent4 4 3 2 4" xfId="11034" xr:uid="{00000000-0005-0000-0000-00001D190000}"/>
    <cellStyle name="20% - Accent4 4 3 2 5" xfId="18989" xr:uid="{00000000-0005-0000-0000-00001E190000}"/>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3" xfId="23396" xr:uid="{00000000-0005-0000-0000-000023190000}"/>
    <cellStyle name="20% - Accent4 4 3 3 3" xfId="11912" xr:uid="{00000000-0005-0000-0000-000024190000}"/>
    <cellStyle name="20% - Accent4 4 3 3 4" xfId="19867" xr:uid="{00000000-0005-0000-0000-000025190000}"/>
    <cellStyle name="20% - Accent4 4 3 4" xfId="5707" xr:uid="{00000000-0005-0000-0000-000026190000}"/>
    <cellStyle name="20% - Accent4 4 3 4 2" xfId="13691" xr:uid="{00000000-0005-0000-0000-000027190000}"/>
    <cellStyle name="20% - Accent4 4 3 4 3" xfId="21639" xr:uid="{00000000-0005-0000-0000-000028190000}"/>
    <cellStyle name="20% - Accent4 4 3 5" xfId="9260" xr:uid="{00000000-0005-0000-0000-000029190000}"/>
    <cellStyle name="20% - Accent4 4 3 5 2" xfId="17218" xr:uid="{00000000-0005-0000-0000-00002A190000}"/>
    <cellStyle name="20% - Accent4 4 3 5 3" xfId="25162" xr:uid="{00000000-0005-0000-0000-00002B190000}"/>
    <cellStyle name="20% - Accent4 4 3 6" xfId="10156" xr:uid="{00000000-0005-0000-0000-00002C190000}"/>
    <cellStyle name="20% - Accent4 4 3 7" xfId="18111" xr:uid="{00000000-0005-0000-0000-00002D19000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3" xfId="24859" xr:uid="{00000000-0005-0000-0000-000034190000}"/>
    <cellStyle name="20% - Accent4 4 4 2 2 3" xfId="13375" xr:uid="{00000000-0005-0000-0000-000035190000}"/>
    <cellStyle name="20% - Accent4 4 4 2 2 4" xfId="21330" xr:uid="{00000000-0005-0000-0000-000036190000}"/>
    <cellStyle name="20% - Accent4 4 4 2 3" xfId="7183" xr:uid="{00000000-0005-0000-0000-000037190000}"/>
    <cellStyle name="20% - Accent4 4 4 2 3 2" xfId="15155" xr:uid="{00000000-0005-0000-0000-000038190000}"/>
    <cellStyle name="20% - Accent4 4 4 2 3 3" xfId="23102" xr:uid="{00000000-0005-0000-0000-000039190000}"/>
    <cellStyle name="20% - Accent4 4 4 2 4" xfId="11619" xr:uid="{00000000-0005-0000-0000-00003A190000}"/>
    <cellStyle name="20% - Accent4 4 4 2 5" xfId="19574" xr:uid="{00000000-0005-0000-0000-00003B190000}"/>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3" xfId="23981" xr:uid="{00000000-0005-0000-0000-000040190000}"/>
    <cellStyle name="20% - Accent4 4 4 3 3" xfId="12497" xr:uid="{00000000-0005-0000-0000-000041190000}"/>
    <cellStyle name="20% - Accent4 4 4 3 4" xfId="20452" xr:uid="{00000000-0005-0000-0000-000042190000}"/>
    <cellStyle name="20% - Accent4 4 4 4" xfId="6302" xr:uid="{00000000-0005-0000-0000-000043190000}"/>
    <cellStyle name="20% - Accent4 4 4 4 2" xfId="14277" xr:uid="{00000000-0005-0000-0000-000044190000}"/>
    <cellStyle name="20% - Accent4 4 4 4 3" xfId="22224" xr:uid="{00000000-0005-0000-0000-000045190000}"/>
    <cellStyle name="20% - Accent4 4 4 5" xfId="9845" xr:uid="{00000000-0005-0000-0000-000046190000}"/>
    <cellStyle name="20% - Accent4 4 4 5 2" xfId="17803" xr:uid="{00000000-0005-0000-0000-000047190000}"/>
    <cellStyle name="20% - Accent4 4 4 5 3" xfId="25747" xr:uid="{00000000-0005-0000-0000-000048190000}"/>
    <cellStyle name="20% - Accent4 4 4 6" xfId="10741" xr:uid="{00000000-0005-0000-0000-000049190000}"/>
    <cellStyle name="20% - Accent4 4 4 7" xfId="18696" xr:uid="{00000000-0005-0000-0000-00004A190000}"/>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3" xfId="24271" xr:uid="{00000000-0005-0000-0000-000050190000}"/>
    <cellStyle name="20% - Accent4 4 5 2 3" xfId="12787" xr:uid="{00000000-0005-0000-0000-000051190000}"/>
    <cellStyle name="20% - Accent4 4 5 2 4" xfId="20742" xr:uid="{00000000-0005-0000-0000-000052190000}"/>
    <cellStyle name="20% - Accent4 4 5 3" xfId="6595" xr:uid="{00000000-0005-0000-0000-000053190000}"/>
    <cellStyle name="20% - Accent4 4 5 3 2" xfId="14567" xr:uid="{00000000-0005-0000-0000-000054190000}"/>
    <cellStyle name="20% - Accent4 4 5 3 3" xfId="22514" xr:uid="{00000000-0005-0000-0000-000055190000}"/>
    <cellStyle name="20% - Accent4 4 5 4" xfId="11031" xr:uid="{00000000-0005-0000-0000-000056190000}"/>
    <cellStyle name="20% - Accent4 4 5 5" xfId="18986" xr:uid="{00000000-0005-0000-0000-000057190000}"/>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3" xfId="23393" xr:uid="{00000000-0005-0000-0000-00005C190000}"/>
    <cellStyle name="20% - Accent4 4 6 3" xfId="11909" xr:uid="{00000000-0005-0000-0000-00005D190000}"/>
    <cellStyle name="20% - Accent4 4 6 4" xfId="19864" xr:uid="{00000000-0005-0000-0000-00005E190000}"/>
    <cellStyle name="20% - Accent4 4 7" xfId="5704" xr:uid="{00000000-0005-0000-0000-00005F190000}"/>
    <cellStyle name="20% - Accent4 4 7 2" xfId="13688" xr:uid="{00000000-0005-0000-0000-000060190000}"/>
    <cellStyle name="20% - Accent4 4 7 3" xfId="21636" xr:uid="{00000000-0005-0000-0000-000061190000}"/>
    <cellStyle name="20% - Accent4 4 8" xfId="9257" xr:uid="{00000000-0005-0000-0000-000062190000}"/>
    <cellStyle name="20% - Accent4 4 8 2" xfId="17215" xr:uid="{00000000-0005-0000-0000-000063190000}"/>
    <cellStyle name="20% - Accent4 4 8 3" xfId="25159" xr:uid="{00000000-0005-0000-0000-000064190000}"/>
    <cellStyle name="20% - Accent4 4 9" xfId="10153" xr:uid="{00000000-0005-0000-0000-000065190000}"/>
    <cellStyle name="20% - Accent4 4_Exh G" xfId="2377" xr:uid="{00000000-0005-0000-0000-000066190000}"/>
    <cellStyle name="20% - Accent4 5" xfId="209" xr:uid="{00000000-0005-0000-0000-000067190000}"/>
    <cellStyle name="20% - Accent4 5 10" xfId="18112" xr:uid="{00000000-0005-0000-0000-000068190000}"/>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3" xfId="24277" xr:uid="{00000000-0005-0000-0000-00006F190000}"/>
    <cellStyle name="20% - Accent4 5 2 2 2 2 3" xfId="12793" xr:uid="{00000000-0005-0000-0000-000070190000}"/>
    <cellStyle name="20% - Accent4 5 2 2 2 2 4" xfId="20748" xr:uid="{00000000-0005-0000-0000-000071190000}"/>
    <cellStyle name="20% - Accent4 5 2 2 2 3" xfId="6601" xr:uid="{00000000-0005-0000-0000-000072190000}"/>
    <cellStyle name="20% - Accent4 5 2 2 2 3 2" xfId="14573" xr:uid="{00000000-0005-0000-0000-000073190000}"/>
    <cellStyle name="20% - Accent4 5 2 2 2 3 3" xfId="22520" xr:uid="{00000000-0005-0000-0000-000074190000}"/>
    <cellStyle name="20% - Accent4 5 2 2 2 4" xfId="11037" xr:uid="{00000000-0005-0000-0000-000075190000}"/>
    <cellStyle name="20% - Accent4 5 2 2 2 5" xfId="18992" xr:uid="{00000000-0005-0000-0000-000076190000}"/>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3" xfId="23399" xr:uid="{00000000-0005-0000-0000-00007B190000}"/>
    <cellStyle name="20% - Accent4 5 2 2 3 3" xfId="11915" xr:uid="{00000000-0005-0000-0000-00007C190000}"/>
    <cellStyle name="20% - Accent4 5 2 2 3 4" xfId="19870" xr:uid="{00000000-0005-0000-0000-00007D190000}"/>
    <cellStyle name="20% - Accent4 5 2 2 4" xfId="5710" xr:uid="{00000000-0005-0000-0000-00007E190000}"/>
    <cellStyle name="20% - Accent4 5 2 2 4 2" xfId="13694" xr:uid="{00000000-0005-0000-0000-00007F190000}"/>
    <cellStyle name="20% - Accent4 5 2 2 4 3" xfId="21642" xr:uid="{00000000-0005-0000-0000-000080190000}"/>
    <cellStyle name="20% - Accent4 5 2 2 5" xfId="9263" xr:uid="{00000000-0005-0000-0000-000081190000}"/>
    <cellStyle name="20% - Accent4 5 2 2 5 2" xfId="17221" xr:uid="{00000000-0005-0000-0000-000082190000}"/>
    <cellStyle name="20% - Accent4 5 2 2 5 3" xfId="25165" xr:uid="{00000000-0005-0000-0000-000083190000}"/>
    <cellStyle name="20% - Accent4 5 2 2 6" xfId="10159" xr:uid="{00000000-0005-0000-0000-000084190000}"/>
    <cellStyle name="20% - Accent4 5 2 2 7" xfId="18114" xr:uid="{00000000-0005-0000-0000-000085190000}"/>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3" xfId="24276" xr:uid="{00000000-0005-0000-0000-00008B190000}"/>
    <cellStyle name="20% - Accent4 5 2 3 2 3" xfId="12792" xr:uid="{00000000-0005-0000-0000-00008C190000}"/>
    <cellStyle name="20% - Accent4 5 2 3 2 4" xfId="20747" xr:uid="{00000000-0005-0000-0000-00008D190000}"/>
    <cellStyle name="20% - Accent4 5 2 3 3" xfId="6600" xr:uid="{00000000-0005-0000-0000-00008E190000}"/>
    <cellStyle name="20% - Accent4 5 2 3 3 2" xfId="14572" xr:uid="{00000000-0005-0000-0000-00008F190000}"/>
    <cellStyle name="20% - Accent4 5 2 3 3 3" xfId="22519" xr:uid="{00000000-0005-0000-0000-000090190000}"/>
    <cellStyle name="20% - Accent4 5 2 3 4" xfId="11036" xr:uid="{00000000-0005-0000-0000-000091190000}"/>
    <cellStyle name="20% - Accent4 5 2 3 5" xfId="18991" xr:uid="{00000000-0005-0000-0000-000092190000}"/>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3" xfId="23398" xr:uid="{00000000-0005-0000-0000-000097190000}"/>
    <cellStyle name="20% - Accent4 5 2 4 3" xfId="11914" xr:uid="{00000000-0005-0000-0000-000098190000}"/>
    <cellStyle name="20% - Accent4 5 2 4 4" xfId="19869" xr:uid="{00000000-0005-0000-0000-000099190000}"/>
    <cellStyle name="20% - Accent4 5 2 5" xfId="5709" xr:uid="{00000000-0005-0000-0000-00009A190000}"/>
    <cellStyle name="20% - Accent4 5 2 5 2" xfId="13693" xr:uid="{00000000-0005-0000-0000-00009B190000}"/>
    <cellStyle name="20% - Accent4 5 2 5 3" xfId="21641" xr:uid="{00000000-0005-0000-0000-00009C190000}"/>
    <cellStyle name="20% - Accent4 5 2 6" xfId="9262" xr:uid="{00000000-0005-0000-0000-00009D190000}"/>
    <cellStyle name="20% - Accent4 5 2 6 2" xfId="17220" xr:uid="{00000000-0005-0000-0000-00009E190000}"/>
    <cellStyle name="20% - Accent4 5 2 6 3" xfId="25164" xr:uid="{00000000-0005-0000-0000-00009F190000}"/>
    <cellStyle name="20% - Accent4 5 2 7" xfId="10158" xr:uid="{00000000-0005-0000-0000-0000A0190000}"/>
    <cellStyle name="20% - Accent4 5 2 8" xfId="18113" xr:uid="{00000000-0005-0000-0000-0000A1190000}"/>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3" xfId="24278" xr:uid="{00000000-0005-0000-0000-0000A8190000}"/>
    <cellStyle name="20% - Accent4 5 3 2 2 3" xfId="12794" xr:uid="{00000000-0005-0000-0000-0000A9190000}"/>
    <cellStyle name="20% - Accent4 5 3 2 2 4" xfId="20749" xr:uid="{00000000-0005-0000-0000-0000AA190000}"/>
    <cellStyle name="20% - Accent4 5 3 2 3" xfId="6602" xr:uid="{00000000-0005-0000-0000-0000AB190000}"/>
    <cellStyle name="20% - Accent4 5 3 2 3 2" xfId="14574" xr:uid="{00000000-0005-0000-0000-0000AC190000}"/>
    <cellStyle name="20% - Accent4 5 3 2 3 3" xfId="22521" xr:uid="{00000000-0005-0000-0000-0000AD190000}"/>
    <cellStyle name="20% - Accent4 5 3 2 4" xfId="11038" xr:uid="{00000000-0005-0000-0000-0000AE190000}"/>
    <cellStyle name="20% - Accent4 5 3 2 5" xfId="18993" xr:uid="{00000000-0005-0000-0000-0000AF190000}"/>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3" xfId="23400" xr:uid="{00000000-0005-0000-0000-0000B4190000}"/>
    <cellStyle name="20% - Accent4 5 3 3 3" xfId="11916" xr:uid="{00000000-0005-0000-0000-0000B5190000}"/>
    <cellStyle name="20% - Accent4 5 3 3 4" xfId="19871" xr:uid="{00000000-0005-0000-0000-0000B6190000}"/>
    <cellStyle name="20% - Accent4 5 3 4" xfId="5711" xr:uid="{00000000-0005-0000-0000-0000B7190000}"/>
    <cellStyle name="20% - Accent4 5 3 4 2" xfId="13695" xr:uid="{00000000-0005-0000-0000-0000B8190000}"/>
    <cellStyle name="20% - Accent4 5 3 4 3" xfId="21643" xr:uid="{00000000-0005-0000-0000-0000B9190000}"/>
    <cellStyle name="20% - Accent4 5 3 5" xfId="9264" xr:uid="{00000000-0005-0000-0000-0000BA190000}"/>
    <cellStyle name="20% - Accent4 5 3 5 2" xfId="17222" xr:uid="{00000000-0005-0000-0000-0000BB190000}"/>
    <cellStyle name="20% - Accent4 5 3 5 3" xfId="25166" xr:uid="{00000000-0005-0000-0000-0000BC190000}"/>
    <cellStyle name="20% - Accent4 5 3 6" xfId="10160" xr:uid="{00000000-0005-0000-0000-0000BD190000}"/>
    <cellStyle name="20% - Accent4 5 3 7" xfId="18115" xr:uid="{00000000-0005-0000-0000-0000BE190000}"/>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3" xfId="24275" xr:uid="{00000000-0005-0000-0000-0000C5190000}"/>
    <cellStyle name="20% - Accent4 5 5 2 3" xfId="12791" xr:uid="{00000000-0005-0000-0000-0000C6190000}"/>
    <cellStyle name="20% - Accent4 5 5 2 4" xfId="20746" xr:uid="{00000000-0005-0000-0000-0000C7190000}"/>
    <cellStyle name="20% - Accent4 5 5 3" xfId="6599" xr:uid="{00000000-0005-0000-0000-0000C8190000}"/>
    <cellStyle name="20% - Accent4 5 5 3 2" xfId="14571" xr:uid="{00000000-0005-0000-0000-0000C9190000}"/>
    <cellStyle name="20% - Accent4 5 5 3 3" xfId="22518" xr:uid="{00000000-0005-0000-0000-0000CA190000}"/>
    <cellStyle name="20% - Accent4 5 5 4" xfId="11035" xr:uid="{00000000-0005-0000-0000-0000CB190000}"/>
    <cellStyle name="20% - Accent4 5 5 5" xfId="18990" xr:uid="{00000000-0005-0000-0000-0000CC190000}"/>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3" xfId="23397" xr:uid="{00000000-0005-0000-0000-0000D1190000}"/>
    <cellStyle name="20% - Accent4 5 6 3" xfId="11913" xr:uid="{00000000-0005-0000-0000-0000D2190000}"/>
    <cellStyle name="20% - Accent4 5 6 4" xfId="19868" xr:uid="{00000000-0005-0000-0000-0000D3190000}"/>
    <cellStyle name="20% - Accent4 5 7" xfId="5708" xr:uid="{00000000-0005-0000-0000-0000D4190000}"/>
    <cellStyle name="20% - Accent4 5 7 2" xfId="13692" xr:uid="{00000000-0005-0000-0000-0000D5190000}"/>
    <cellStyle name="20% - Accent4 5 7 3" xfId="21640" xr:uid="{00000000-0005-0000-0000-0000D6190000}"/>
    <cellStyle name="20% - Accent4 5 8" xfId="9261" xr:uid="{00000000-0005-0000-0000-0000D7190000}"/>
    <cellStyle name="20% - Accent4 5 8 2" xfId="17219" xr:uid="{00000000-0005-0000-0000-0000D8190000}"/>
    <cellStyle name="20% - Accent4 5 8 3" xfId="25163" xr:uid="{00000000-0005-0000-0000-0000D9190000}"/>
    <cellStyle name="20% - Accent4 5 9" xfId="10157" xr:uid="{00000000-0005-0000-0000-0000DA190000}"/>
    <cellStyle name="20% - Accent4 5_Exh G" xfId="2389" xr:uid="{00000000-0005-0000-0000-0000DB190000}"/>
    <cellStyle name="20% - Accent4 6" xfId="213" xr:uid="{00000000-0005-0000-0000-0000DC190000}"/>
    <cellStyle name="20% - Accent4 6 10" xfId="18116" xr:uid="{00000000-0005-0000-0000-0000DD190000}"/>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3" xfId="24281" xr:uid="{00000000-0005-0000-0000-0000E4190000}"/>
    <cellStyle name="20% - Accent4 6 2 2 2 2 3" xfId="12797" xr:uid="{00000000-0005-0000-0000-0000E5190000}"/>
    <cellStyle name="20% - Accent4 6 2 2 2 2 4" xfId="20752" xr:uid="{00000000-0005-0000-0000-0000E6190000}"/>
    <cellStyle name="20% - Accent4 6 2 2 2 3" xfId="6605" xr:uid="{00000000-0005-0000-0000-0000E7190000}"/>
    <cellStyle name="20% - Accent4 6 2 2 2 3 2" xfId="14577" xr:uid="{00000000-0005-0000-0000-0000E8190000}"/>
    <cellStyle name="20% - Accent4 6 2 2 2 3 3" xfId="22524" xr:uid="{00000000-0005-0000-0000-0000E9190000}"/>
    <cellStyle name="20% - Accent4 6 2 2 2 4" xfId="11041" xr:uid="{00000000-0005-0000-0000-0000EA190000}"/>
    <cellStyle name="20% - Accent4 6 2 2 2 5" xfId="18996" xr:uid="{00000000-0005-0000-0000-0000EB190000}"/>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3" xfId="23403" xr:uid="{00000000-0005-0000-0000-0000F0190000}"/>
    <cellStyle name="20% - Accent4 6 2 2 3 3" xfId="11919" xr:uid="{00000000-0005-0000-0000-0000F1190000}"/>
    <cellStyle name="20% - Accent4 6 2 2 3 4" xfId="19874" xr:uid="{00000000-0005-0000-0000-0000F2190000}"/>
    <cellStyle name="20% - Accent4 6 2 2 4" xfId="5714" xr:uid="{00000000-0005-0000-0000-0000F3190000}"/>
    <cellStyle name="20% - Accent4 6 2 2 4 2" xfId="13698" xr:uid="{00000000-0005-0000-0000-0000F4190000}"/>
    <cellStyle name="20% - Accent4 6 2 2 4 3" xfId="21646" xr:uid="{00000000-0005-0000-0000-0000F5190000}"/>
    <cellStyle name="20% - Accent4 6 2 2 5" xfId="9267" xr:uid="{00000000-0005-0000-0000-0000F6190000}"/>
    <cellStyle name="20% - Accent4 6 2 2 5 2" xfId="17225" xr:uid="{00000000-0005-0000-0000-0000F7190000}"/>
    <cellStyle name="20% - Accent4 6 2 2 5 3" xfId="25169" xr:uid="{00000000-0005-0000-0000-0000F8190000}"/>
    <cellStyle name="20% - Accent4 6 2 2 6" xfId="10163" xr:uid="{00000000-0005-0000-0000-0000F9190000}"/>
    <cellStyle name="20% - Accent4 6 2 2 7" xfId="18118" xr:uid="{00000000-0005-0000-0000-0000FA190000}"/>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3" xfId="24280" xr:uid="{00000000-0005-0000-0000-0000001A0000}"/>
    <cellStyle name="20% - Accent4 6 2 3 2 3" xfId="12796" xr:uid="{00000000-0005-0000-0000-0000011A0000}"/>
    <cellStyle name="20% - Accent4 6 2 3 2 4" xfId="20751" xr:uid="{00000000-0005-0000-0000-0000021A0000}"/>
    <cellStyle name="20% - Accent4 6 2 3 3" xfId="6604" xr:uid="{00000000-0005-0000-0000-0000031A0000}"/>
    <cellStyle name="20% - Accent4 6 2 3 3 2" xfId="14576" xr:uid="{00000000-0005-0000-0000-0000041A0000}"/>
    <cellStyle name="20% - Accent4 6 2 3 3 3" xfId="22523" xr:uid="{00000000-0005-0000-0000-0000051A0000}"/>
    <cellStyle name="20% - Accent4 6 2 3 4" xfId="11040" xr:uid="{00000000-0005-0000-0000-0000061A0000}"/>
    <cellStyle name="20% - Accent4 6 2 3 5" xfId="18995" xr:uid="{00000000-0005-0000-0000-0000071A0000}"/>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3" xfId="23402" xr:uid="{00000000-0005-0000-0000-00000C1A0000}"/>
    <cellStyle name="20% - Accent4 6 2 4 3" xfId="11918" xr:uid="{00000000-0005-0000-0000-00000D1A0000}"/>
    <cellStyle name="20% - Accent4 6 2 4 4" xfId="19873" xr:uid="{00000000-0005-0000-0000-00000E1A0000}"/>
    <cellStyle name="20% - Accent4 6 2 5" xfId="5713" xr:uid="{00000000-0005-0000-0000-00000F1A0000}"/>
    <cellStyle name="20% - Accent4 6 2 5 2" xfId="13697" xr:uid="{00000000-0005-0000-0000-0000101A0000}"/>
    <cellStyle name="20% - Accent4 6 2 5 3" xfId="21645" xr:uid="{00000000-0005-0000-0000-0000111A0000}"/>
    <cellStyle name="20% - Accent4 6 2 6" xfId="9266" xr:uid="{00000000-0005-0000-0000-0000121A0000}"/>
    <cellStyle name="20% - Accent4 6 2 6 2" xfId="17224" xr:uid="{00000000-0005-0000-0000-0000131A0000}"/>
    <cellStyle name="20% - Accent4 6 2 6 3" xfId="25168" xr:uid="{00000000-0005-0000-0000-0000141A0000}"/>
    <cellStyle name="20% - Accent4 6 2 7" xfId="10162" xr:uid="{00000000-0005-0000-0000-0000151A0000}"/>
    <cellStyle name="20% - Accent4 6 2 8" xfId="18117" xr:uid="{00000000-0005-0000-0000-0000161A0000}"/>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3" xfId="24282" xr:uid="{00000000-0005-0000-0000-00001D1A0000}"/>
    <cellStyle name="20% - Accent4 6 3 2 2 3" xfId="12798" xr:uid="{00000000-0005-0000-0000-00001E1A0000}"/>
    <cellStyle name="20% - Accent4 6 3 2 2 4" xfId="20753" xr:uid="{00000000-0005-0000-0000-00001F1A0000}"/>
    <cellStyle name="20% - Accent4 6 3 2 3" xfId="6606" xr:uid="{00000000-0005-0000-0000-0000201A0000}"/>
    <cellStyle name="20% - Accent4 6 3 2 3 2" xfId="14578" xr:uid="{00000000-0005-0000-0000-0000211A0000}"/>
    <cellStyle name="20% - Accent4 6 3 2 3 3" xfId="22525" xr:uid="{00000000-0005-0000-0000-0000221A0000}"/>
    <cellStyle name="20% - Accent4 6 3 2 4" xfId="11042" xr:uid="{00000000-0005-0000-0000-0000231A0000}"/>
    <cellStyle name="20% - Accent4 6 3 2 5" xfId="18997" xr:uid="{00000000-0005-0000-0000-0000241A0000}"/>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3" xfId="23404" xr:uid="{00000000-0005-0000-0000-0000291A0000}"/>
    <cellStyle name="20% - Accent4 6 3 3 3" xfId="11920" xr:uid="{00000000-0005-0000-0000-00002A1A0000}"/>
    <cellStyle name="20% - Accent4 6 3 3 4" xfId="19875" xr:uid="{00000000-0005-0000-0000-00002B1A0000}"/>
    <cellStyle name="20% - Accent4 6 3 4" xfId="5715" xr:uid="{00000000-0005-0000-0000-00002C1A0000}"/>
    <cellStyle name="20% - Accent4 6 3 4 2" xfId="13699" xr:uid="{00000000-0005-0000-0000-00002D1A0000}"/>
    <cellStyle name="20% - Accent4 6 3 4 3" xfId="21647" xr:uid="{00000000-0005-0000-0000-00002E1A0000}"/>
    <cellStyle name="20% - Accent4 6 3 5" xfId="9268" xr:uid="{00000000-0005-0000-0000-00002F1A0000}"/>
    <cellStyle name="20% - Accent4 6 3 5 2" xfId="17226" xr:uid="{00000000-0005-0000-0000-0000301A0000}"/>
    <cellStyle name="20% - Accent4 6 3 5 3" xfId="25170" xr:uid="{00000000-0005-0000-0000-0000311A0000}"/>
    <cellStyle name="20% - Accent4 6 3 6" xfId="10164" xr:uid="{00000000-0005-0000-0000-0000321A0000}"/>
    <cellStyle name="20% - Accent4 6 3 7" xfId="18119" xr:uid="{00000000-0005-0000-0000-0000331A0000}"/>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3" xfId="24861" xr:uid="{00000000-0005-0000-0000-00003A1A0000}"/>
    <cellStyle name="20% - Accent4 6 4 2 2 3" xfId="13377" xr:uid="{00000000-0005-0000-0000-00003B1A0000}"/>
    <cellStyle name="20% - Accent4 6 4 2 2 4" xfId="21332" xr:uid="{00000000-0005-0000-0000-00003C1A0000}"/>
    <cellStyle name="20% - Accent4 6 4 2 3" xfId="7185" xr:uid="{00000000-0005-0000-0000-00003D1A0000}"/>
    <cellStyle name="20% - Accent4 6 4 2 3 2" xfId="15157" xr:uid="{00000000-0005-0000-0000-00003E1A0000}"/>
    <cellStyle name="20% - Accent4 6 4 2 3 3" xfId="23104" xr:uid="{00000000-0005-0000-0000-00003F1A0000}"/>
    <cellStyle name="20% - Accent4 6 4 2 4" xfId="11621" xr:uid="{00000000-0005-0000-0000-0000401A0000}"/>
    <cellStyle name="20% - Accent4 6 4 2 5" xfId="19576" xr:uid="{00000000-0005-0000-0000-0000411A0000}"/>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3" xfId="23983" xr:uid="{00000000-0005-0000-0000-0000461A0000}"/>
    <cellStyle name="20% - Accent4 6 4 3 3" xfId="12499" xr:uid="{00000000-0005-0000-0000-0000471A0000}"/>
    <cellStyle name="20% - Accent4 6 4 3 4" xfId="20454" xr:uid="{00000000-0005-0000-0000-0000481A0000}"/>
    <cellStyle name="20% - Accent4 6 4 4" xfId="6304" xr:uid="{00000000-0005-0000-0000-0000491A0000}"/>
    <cellStyle name="20% - Accent4 6 4 4 2" xfId="14279" xr:uid="{00000000-0005-0000-0000-00004A1A0000}"/>
    <cellStyle name="20% - Accent4 6 4 4 3" xfId="22226" xr:uid="{00000000-0005-0000-0000-00004B1A0000}"/>
    <cellStyle name="20% - Accent4 6 4 5" xfId="9847" xr:uid="{00000000-0005-0000-0000-00004C1A0000}"/>
    <cellStyle name="20% - Accent4 6 4 5 2" xfId="17805" xr:uid="{00000000-0005-0000-0000-00004D1A0000}"/>
    <cellStyle name="20% - Accent4 6 4 5 3" xfId="25749" xr:uid="{00000000-0005-0000-0000-00004E1A0000}"/>
    <cellStyle name="20% - Accent4 6 4 6" xfId="10743" xr:uid="{00000000-0005-0000-0000-00004F1A0000}"/>
    <cellStyle name="20% - Accent4 6 4 7" xfId="18698" xr:uid="{00000000-0005-0000-0000-0000501A0000}"/>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3" xfId="24279" xr:uid="{00000000-0005-0000-0000-0000561A0000}"/>
    <cellStyle name="20% - Accent4 6 5 2 3" xfId="12795" xr:uid="{00000000-0005-0000-0000-0000571A0000}"/>
    <cellStyle name="20% - Accent4 6 5 2 4" xfId="20750" xr:uid="{00000000-0005-0000-0000-0000581A0000}"/>
    <cellStyle name="20% - Accent4 6 5 3" xfId="6603" xr:uid="{00000000-0005-0000-0000-0000591A0000}"/>
    <cellStyle name="20% - Accent4 6 5 3 2" xfId="14575" xr:uid="{00000000-0005-0000-0000-00005A1A0000}"/>
    <cellStyle name="20% - Accent4 6 5 3 3" xfId="22522" xr:uid="{00000000-0005-0000-0000-00005B1A0000}"/>
    <cellStyle name="20% - Accent4 6 5 4" xfId="11039" xr:uid="{00000000-0005-0000-0000-00005C1A0000}"/>
    <cellStyle name="20% - Accent4 6 5 5" xfId="18994" xr:uid="{00000000-0005-0000-0000-00005D1A0000}"/>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3" xfId="23401" xr:uid="{00000000-0005-0000-0000-0000621A0000}"/>
    <cellStyle name="20% - Accent4 6 6 3" xfId="11917" xr:uid="{00000000-0005-0000-0000-0000631A0000}"/>
    <cellStyle name="20% - Accent4 6 6 4" xfId="19872" xr:uid="{00000000-0005-0000-0000-0000641A0000}"/>
    <cellStyle name="20% - Accent4 6 7" xfId="5712" xr:uid="{00000000-0005-0000-0000-0000651A0000}"/>
    <cellStyle name="20% - Accent4 6 7 2" xfId="13696" xr:uid="{00000000-0005-0000-0000-0000661A0000}"/>
    <cellStyle name="20% - Accent4 6 7 3" xfId="21644" xr:uid="{00000000-0005-0000-0000-0000671A0000}"/>
    <cellStyle name="20% - Accent4 6 8" xfId="9265" xr:uid="{00000000-0005-0000-0000-0000681A0000}"/>
    <cellStyle name="20% - Accent4 6 8 2" xfId="17223" xr:uid="{00000000-0005-0000-0000-0000691A0000}"/>
    <cellStyle name="20% - Accent4 6 8 3" xfId="25167" xr:uid="{00000000-0005-0000-0000-00006A1A0000}"/>
    <cellStyle name="20% - Accent4 6 9" xfId="10161" xr:uid="{00000000-0005-0000-0000-00006B1A0000}"/>
    <cellStyle name="20% - Accent4 6_Exh G" xfId="2397" xr:uid="{00000000-0005-0000-0000-00006C1A0000}"/>
    <cellStyle name="20% - Accent4 7" xfId="217" xr:uid="{00000000-0005-0000-0000-00006D1A0000}"/>
    <cellStyle name="20% - Accent4 7 10" xfId="18120" xr:uid="{00000000-0005-0000-0000-00006E1A0000}"/>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3" xfId="24285" xr:uid="{00000000-0005-0000-0000-0000751A0000}"/>
    <cellStyle name="20% - Accent4 7 2 2 2 2 3" xfId="12801" xr:uid="{00000000-0005-0000-0000-0000761A0000}"/>
    <cellStyle name="20% - Accent4 7 2 2 2 2 4" xfId="20756" xr:uid="{00000000-0005-0000-0000-0000771A0000}"/>
    <cellStyle name="20% - Accent4 7 2 2 2 3" xfId="6609" xr:uid="{00000000-0005-0000-0000-0000781A0000}"/>
    <cellStyle name="20% - Accent4 7 2 2 2 3 2" xfId="14581" xr:uid="{00000000-0005-0000-0000-0000791A0000}"/>
    <cellStyle name="20% - Accent4 7 2 2 2 3 3" xfId="22528" xr:uid="{00000000-0005-0000-0000-00007A1A0000}"/>
    <cellStyle name="20% - Accent4 7 2 2 2 4" xfId="11045" xr:uid="{00000000-0005-0000-0000-00007B1A0000}"/>
    <cellStyle name="20% - Accent4 7 2 2 2 5" xfId="19000" xr:uid="{00000000-0005-0000-0000-00007C1A0000}"/>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3" xfId="23407" xr:uid="{00000000-0005-0000-0000-0000811A0000}"/>
    <cellStyle name="20% - Accent4 7 2 2 3 3" xfId="11923" xr:uid="{00000000-0005-0000-0000-0000821A0000}"/>
    <cellStyle name="20% - Accent4 7 2 2 3 4" xfId="19878" xr:uid="{00000000-0005-0000-0000-0000831A0000}"/>
    <cellStyle name="20% - Accent4 7 2 2 4" xfId="5718" xr:uid="{00000000-0005-0000-0000-0000841A0000}"/>
    <cellStyle name="20% - Accent4 7 2 2 4 2" xfId="13702" xr:uid="{00000000-0005-0000-0000-0000851A0000}"/>
    <cellStyle name="20% - Accent4 7 2 2 4 3" xfId="21650" xr:uid="{00000000-0005-0000-0000-0000861A0000}"/>
    <cellStyle name="20% - Accent4 7 2 2 5" xfId="9271" xr:uid="{00000000-0005-0000-0000-0000871A0000}"/>
    <cellStyle name="20% - Accent4 7 2 2 5 2" xfId="17229" xr:uid="{00000000-0005-0000-0000-0000881A0000}"/>
    <cellStyle name="20% - Accent4 7 2 2 5 3" xfId="25173" xr:uid="{00000000-0005-0000-0000-0000891A0000}"/>
    <cellStyle name="20% - Accent4 7 2 2 6" xfId="10167" xr:uid="{00000000-0005-0000-0000-00008A1A0000}"/>
    <cellStyle name="20% - Accent4 7 2 2 7" xfId="18122" xr:uid="{00000000-0005-0000-0000-00008B1A0000}"/>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3" xfId="24284" xr:uid="{00000000-0005-0000-0000-0000911A0000}"/>
    <cellStyle name="20% - Accent4 7 2 3 2 3" xfId="12800" xr:uid="{00000000-0005-0000-0000-0000921A0000}"/>
    <cellStyle name="20% - Accent4 7 2 3 2 4" xfId="20755" xr:uid="{00000000-0005-0000-0000-0000931A0000}"/>
    <cellStyle name="20% - Accent4 7 2 3 3" xfId="6608" xr:uid="{00000000-0005-0000-0000-0000941A0000}"/>
    <cellStyle name="20% - Accent4 7 2 3 3 2" xfId="14580" xr:uid="{00000000-0005-0000-0000-0000951A0000}"/>
    <cellStyle name="20% - Accent4 7 2 3 3 3" xfId="22527" xr:uid="{00000000-0005-0000-0000-0000961A0000}"/>
    <cellStyle name="20% - Accent4 7 2 3 4" xfId="11044" xr:uid="{00000000-0005-0000-0000-0000971A0000}"/>
    <cellStyle name="20% - Accent4 7 2 3 5" xfId="18999" xr:uid="{00000000-0005-0000-0000-0000981A0000}"/>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3" xfId="23406" xr:uid="{00000000-0005-0000-0000-00009D1A0000}"/>
    <cellStyle name="20% - Accent4 7 2 4 3" xfId="11922" xr:uid="{00000000-0005-0000-0000-00009E1A0000}"/>
    <cellStyle name="20% - Accent4 7 2 4 4" xfId="19877" xr:uid="{00000000-0005-0000-0000-00009F1A0000}"/>
    <cellStyle name="20% - Accent4 7 2 5" xfId="5717" xr:uid="{00000000-0005-0000-0000-0000A01A0000}"/>
    <cellStyle name="20% - Accent4 7 2 5 2" xfId="13701" xr:uid="{00000000-0005-0000-0000-0000A11A0000}"/>
    <cellStyle name="20% - Accent4 7 2 5 3" xfId="21649" xr:uid="{00000000-0005-0000-0000-0000A21A0000}"/>
    <cellStyle name="20% - Accent4 7 2 6" xfId="9270" xr:uid="{00000000-0005-0000-0000-0000A31A0000}"/>
    <cellStyle name="20% - Accent4 7 2 6 2" xfId="17228" xr:uid="{00000000-0005-0000-0000-0000A41A0000}"/>
    <cellStyle name="20% - Accent4 7 2 6 3" xfId="25172" xr:uid="{00000000-0005-0000-0000-0000A51A0000}"/>
    <cellStyle name="20% - Accent4 7 2 7" xfId="10166" xr:uid="{00000000-0005-0000-0000-0000A61A0000}"/>
    <cellStyle name="20% - Accent4 7 2 8" xfId="18121" xr:uid="{00000000-0005-0000-0000-0000A71A0000}"/>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3" xfId="24286" xr:uid="{00000000-0005-0000-0000-0000AE1A0000}"/>
    <cellStyle name="20% - Accent4 7 3 2 2 3" xfId="12802" xr:uid="{00000000-0005-0000-0000-0000AF1A0000}"/>
    <cellStyle name="20% - Accent4 7 3 2 2 4" xfId="20757" xr:uid="{00000000-0005-0000-0000-0000B01A0000}"/>
    <cellStyle name="20% - Accent4 7 3 2 3" xfId="6610" xr:uid="{00000000-0005-0000-0000-0000B11A0000}"/>
    <cellStyle name="20% - Accent4 7 3 2 3 2" xfId="14582" xr:uid="{00000000-0005-0000-0000-0000B21A0000}"/>
    <cellStyle name="20% - Accent4 7 3 2 3 3" xfId="22529" xr:uid="{00000000-0005-0000-0000-0000B31A0000}"/>
    <cellStyle name="20% - Accent4 7 3 2 4" xfId="11046" xr:uid="{00000000-0005-0000-0000-0000B41A0000}"/>
    <cellStyle name="20% - Accent4 7 3 2 5" xfId="19001" xr:uid="{00000000-0005-0000-0000-0000B51A0000}"/>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3" xfId="23408" xr:uid="{00000000-0005-0000-0000-0000BA1A0000}"/>
    <cellStyle name="20% - Accent4 7 3 3 3" xfId="11924" xr:uid="{00000000-0005-0000-0000-0000BB1A0000}"/>
    <cellStyle name="20% - Accent4 7 3 3 4" xfId="19879" xr:uid="{00000000-0005-0000-0000-0000BC1A0000}"/>
    <cellStyle name="20% - Accent4 7 3 4" xfId="5719" xr:uid="{00000000-0005-0000-0000-0000BD1A0000}"/>
    <cellStyle name="20% - Accent4 7 3 4 2" xfId="13703" xr:uid="{00000000-0005-0000-0000-0000BE1A0000}"/>
    <cellStyle name="20% - Accent4 7 3 4 3" xfId="21651" xr:uid="{00000000-0005-0000-0000-0000BF1A0000}"/>
    <cellStyle name="20% - Accent4 7 3 5" xfId="9272" xr:uid="{00000000-0005-0000-0000-0000C01A0000}"/>
    <cellStyle name="20% - Accent4 7 3 5 2" xfId="17230" xr:uid="{00000000-0005-0000-0000-0000C11A0000}"/>
    <cellStyle name="20% - Accent4 7 3 5 3" xfId="25174" xr:uid="{00000000-0005-0000-0000-0000C21A0000}"/>
    <cellStyle name="20% - Accent4 7 3 6" xfId="10168" xr:uid="{00000000-0005-0000-0000-0000C31A0000}"/>
    <cellStyle name="20% - Accent4 7 3 7" xfId="18123" xr:uid="{00000000-0005-0000-0000-0000C41A0000}"/>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3" xfId="24862" xr:uid="{00000000-0005-0000-0000-0000CB1A0000}"/>
    <cellStyle name="20% - Accent4 7 4 2 2 3" xfId="13378" xr:uid="{00000000-0005-0000-0000-0000CC1A0000}"/>
    <cellStyle name="20% - Accent4 7 4 2 2 4" xfId="21333" xr:uid="{00000000-0005-0000-0000-0000CD1A0000}"/>
    <cellStyle name="20% - Accent4 7 4 2 3" xfId="7186" xr:uid="{00000000-0005-0000-0000-0000CE1A0000}"/>
    <cellStyle name="20% - Accent4 7 4 2 3 2" xfId="15158" xr:uid="{00000000-0005-0000-0000-0000CF1A0000}"/>
    <cellStyle name="20% - Accent4 7 4 2 3 3" xfId="23105" xr:uid="{00000000-0005-0000-0000-0000D01A0000}"/>
    <cellStyle name="20% - Accent4 7 4 2 4" xfId="11622" xr:uid="{00000000-0005-0000-0000-0000D11A0000}"/>
    <cellStyle name="20% - Accent4 7 4 2 5" xfId="19577" xr:uid="{00000000-0005-0000-0000-0000D21A0000}"/>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3" xfId="23984" xr:uid="{00000000-0005-0000-0000-0000D71A0000}"/>
    <cellStyle name="20% - Accent4 7 4 3 3" xfId="12500" xr:uid="{00000000-0005-0000-0000-0000D81A0000}"/>
    <cellStyle name="20% - Accent4 7 4 3 4" xfId="20455" xr:uid="{00000000-0005-0000-0000-0000D91A0000}"/>
    <cellStyle name="20% - Accent4 7 4 4" xfId="6305" xr:uid="{00000000-0005-0000-0000-0000DA1A0000}"/>
    <cellStyle name="20% - Accent4 7 4 4 2" xfId="14280" xr:uid="{00000000-0005-0000-0000-0000DB1A0000}"/>
    <cellStyle name="20% - Accent4 7 4 4 3" xfId="22227" xr:uid="{00000000-0005-0000-0000-0000DC1A0000}"/>
    <cellStyle name="20% - Accent4 7 4 5" xfId="9848" xr:uid="{00000000-0005-0000-0000-0000DD1A0000}"/>
    <cellStyle name="20% - Accent4 7 4 5 2" xfId="17806" xr:uid="{00000000-0005-0000-0000-0000DE1A0000}"/>
    <cellStyle name="20% - Accent4 7 4 5 3" xfId="25750" xr:uid="{00000000-0005-0000-0000-0000DF1A0000}"/>
    <cellStyle name="20% - Accent4 7 4 6" xfId="10744" xr:uid="{00000000-0005-0000-0000-0000E01A0000}"/>
    <cellStyle name="20% - Accent4 7 4 7" xfId="18699" xr:uid="{00000000-0005-0000-0000-0000E11A0000}"/>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3" xfId="24283" xr:uid="{00000000-0005-0000-0000-0000E71A0000}"/>
    <cellStyle name="20% - Accent4 7 5 2 3" xfId="12799" xr:uid="{00000000-0005-0000-0000-0000E81A0000}"/>
    <cellStyle name="20% - Accent4 7 5 2 4" xfId="20754" xr:uid="{00000000-0005-0000-0000-0000E91A0000}"/>
    <cellStyle name="20% - Accent4 7 5 3" xfId="6607" xr:uid="{00000000-0005-0000-0000-0000EA1A0000}"/>
    <cellStyle name="20% - Accent4 7 5 3 2" xfId="14579" xr:uid="{00000000-0005-0000-0000-0000EB1A0000}"/>
    <cellStyle name="20% - Accent4 7 5 3 3" xfId="22526" xr:uid="{00000000-0005-0000-0000-0000EC1A0000}"/>
    <cellStyle name="20% - Accent4 7 5 4" xfId="11043" xr:uid="{00000000-0005-0000-0000-0000ED1A0000}"/>
    <cellStyle name="20% - Accent4 7 5 5" xfId="18998" xr:uid="{00000000-0005-0000-0000-0000EE1A0000}"/>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3" xfId="23405" xr:uid="{00000000-0005-0000-0000-0000F31A0000}"/>
    <cellStyle name="20% - Accent4 7 6 3" xfId="11921" xr:uid="{00000000-0005-0000-0000-0000F41A0000}"/>
    <cellStyle name="20% - Accent4 7 6 4" xfId="19876" xr:uid="{00000000-0005-0000-0000-0000F51A0000}"/>
    <cellStyle name="20% - Accent4 7 7" xfId="5716" xr:uid="{00000000-0005-0000-0000-0000F61A0000}"/>
    <cellStyle name="20% - Accent4 7 7 2" xfId="13700" xr:uid="{00000000-0005-0000-0000-0000F71A0000}"/>
    <cellStyle name="20% - Accent4 7 7 3" xfId="21648" xr:uid="{00000000-0005-0000-0000-0000F81A0000}"/>
    <cellStyle name="20% - Accent4 7 8" xfId="9269" xr:uid="{00000000-0005-0000-0000-0000F91A0000}"/>
    <cellStyle name="20% - Accent4 7 8 2" xfId="17227" xr:uid="{00000000-0005-0000-0000-0000FA1A0000}"/>
    <cellStyle name="20% - Accent4 7 8 3" xfId="25171" xr:uid="{00000000-0005-0000-0000-0000FB1A0000}"/>
    <cellStyle name="20% - Accent4 7 9" xfId="10165" xr:uid="{00000000-0005-0000-0000-0000FC1A0000}"/>
    <cellStyle name="20% - Accent4 7_Exh G" xfId="2407" xr:uid="{00000000-0005-0000-0000-0000FD1A0000}"/>
    <cellStyle name="20% - Accent4 8" xfId="221" xr:uid="{00000000-0005-0000-0000-0000FE1A0000}"/>
    <cellStyle name="20% - Accent4 8 10" xfId="18124" xr:uid="{00000000-0005-0000-0000-0000FF1A0000}"/>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3" xfId="24289" xr:uid="{00000000-0005-0000-0000-0000061B0000}"/>
    <cellStyle name="20% - Accent4 8 2 2 2 2 3" xfId="12805" xr:uid="{00000000-0005-0000-0000-0000071B0000}"/>
    <cellStyle name="20% - Accent4 8 2 2 2 2 4" xfId="20760" xr:uid="{00000000-0005-0000-0000-0000081B0000}"/>
    <cellStyle name="20% - Accent4 8 2 2 2 3" xfId="6613" xr:uid="{00000000-0005-0000-0000-0000091B0000}"/>
    <cellStyle name="20% - Accent4 8 2 2 2 3 2" xfId="14585" xr:uid="{00000000-0005-0000-0000-00000A1B0000}"/>
    <cellStyle name="20% - Accent4 8 2 2 2 3 3" xfId="22532" xr:uid="{00000000-0005-0000-0000-00000B1B0000}"/>
    <cellStyle name="20% - Accent4 8 2 2 2 4" xfId="11049" xr:uid="{00000000-0005-0000-0000-00000C1B0000}"/>
    <cellStyle name="20% - Accent4 8 2 2 2 5" xfId="19004" xr:uid="{00000000-0005-0000-0000-00000D1B0000}"/>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3" xfId="23411" xr:uid="{00000000-0005-0000-0000-0000121B0000}"/>
    <cellStyle name="20% - Accent4 8 2 2 3 3" xfId="11927" xr:uid="{00000000-0005-0000-0000-0000131B0000}"/>
    <cellStyle name="20% - Accent4 8 2 2 3 4" xfId="19882" xr:uid="{00000000-0005-0000-0000-0000141B0000}"/>
    <cellStyle name="20% - Accent4 8 2 2 4" xfId="5722" xr:uid="{00000000-0005-0000-0000-0000151B0000}"/>
    <cellStyle name="20% - Accent4 8 2 2 4 2" xfId="13706" xr:uid="{00000000-0005-0000-0000-0000161B0000}"/>
    <cellStyle name="20% - Accent4 8 2 2 4 3" xfId="21654" xr:uid="{00000000-0005-0000-0000-0000171B0000}"/>
    <cellStyle name="20% - Accent4 8 2 2 5" xfId="9275" xr:uid="{00000000-0005-0000-0000-0000181B0000}"/>
    <cellStyle name="20% - Accent4 8 2 2 5 2" xfId="17233" xr:uid="{00000000-0005-0000-0000-0000191B0000}"/>
    <cellStyle name="20% - Accent4 8 2 2 5 3" xfId="25177" xr:uid="{00000000-0005-0000-0000-00001A1B0000}"/>
    <cellStyle name="20% - Accent4 8 2 2 6" xfId="10171" xr:uid="{00000000-0005-0000-0000-00001B1B0000}"/>
    <cellStyle name="20% - Accent4 8 2 2 7" xfId="18126" xr:uid="{00000000-0005-0000-0000-00001C1B0000}"/>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3" xfId="24288" xr:uid="{00000000-0005-0000-0000-0000221B0000}"/>
    <cellStyle name="20% - Accent4 8 2 3 2 3" xfId="12804" xr:uid="{00000000-0005-0000-0000-0000231B0000}"/>
    <cellStyle name="20% - Accent4 8 2 3 2 4" xfId="20759" xr:uid="{00000000-0005-0000-0000-0000241B0000}"/>
    <cellStyle name="20% - Accent4 8 2 3 3" xfId="6612" xr:uid="{00000000-0005-0000-0000-0000251B0000}"/>
    <cellStyle name="20% - Accent4 8 2 3 3 2" xfId="14584" xr:uid="{00000000-0005-0000-0000-0000261B0000}"/>
    <cellStyle name="20% - Accent4 8 2 3 3 3" xfId="22531" xr:uid="{00000000-0005-0000-0000-0000271B0000}"/>
    <cellStyle name="20% - Accent4 8 2 3 4" xfId="11048" xr:uid="{00000000-0005-0000-0000-0000281B0000}"/>
    <cellStyle name="20% - Accent4 8 2 3 5" xfId="19003" xr:uid="{00000000-0005-0000-0000-0000291B0000}"/>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3" xfId="23410" xr:uid="{00000000-0005-0000-0000-00002E1B0000}"/>
    <cellStyle name="20% - Accent4 8 2 4 3" xfId="11926" xr:uid="{00000000-0005-0000-0000-00002F1B0000}"/>
    <cellStyle name="20% - Accent4 8 2 4 4" xfId="19881" xr:uid="{00000000-0005-0000-0000-0000301B0000}"/>
    <cellStyle name="20% - Accent4 8 2 5" xfId="5721" xr:uid="{00000000-0005-0000-0000-0000311B0000}"/>
    <cellStyle name="20% - Accent4 8 2 5 2" xfId="13705" xr:uid="{00000000-0005-0000-0000-0000321B0000}"/>
    <cellStyle name="20% - Accent4 8 2 5 3" xfId="21653" xr:uid="{00000000-0005-0000-0000-0000331B0000}"/>
    <cellStyle name="20% - Accent4 8 2 6" xfId="9274" xr:uid="{00000000-0005-0000-0000-0000341B0000}"/>
    <cellStyle name="20% - Accent4 8 2 6 2" xfId="17232" xr:uid="{00000000-0005-0000-0000-0000351B0000}"/>
    <cellStyle name="20% - Accent4 8 2 6 3" xfId="25176" xr:uid="{00000000-0005-0000-0000-0000361B0000}"/>
    <cellStyle name="20% - Accent4 8 2 7" xfId="10170" xr:uid="{00000000-0005-0000-0000-0000371B0000}"/>
    <cellStyle name="20% - Accent4 8 2 8" xfId="18125" xr:uid="{00000000-0005-0000-0000-0000381B0000}"/>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3" xfId="24290" xr:uid="{00000000-0005-0000-0000-00003F1B0000}"/>
    <cellStyle name="20% - Accent4 8 3 2 2 3" xfId="12806" xr:uid="{00000000-0005-0000-0000-0000401B0000}"/>
    <cellStyle name="20% - Accent4 8 3 2 2 4" xfId="20761" xr:uid="{00000000-0005-0000-0000-0000411B0000}"/>
    <cellStyle name="20% - Accent4 8 3 2 3" xfId="6614" xr:uid="{00000000-0005-0000-0000-0000421B0000}"/>
    <cellStyle name="20% - Accent4 8 3 2 3 2" xfId="14586" xr:uid="{00000000-0005-0000-0000-0000431B0000}"/>
    <cellStyle name="20% - Accent4 8 3 2 3 3" xfId="22533" xr:uid="{00000000-0005-0000-0000-0000441B0000}"/>
    <cellStyle name="20% - Accent4 8 3 2 4" xfId="11050" xr:uid="{00000000-0005-0000-0000-0000451B0000}"/>
    <cellStyle name="20% - Accent4 8 3 2 5" xfId="19005" xr:uid="{00000000-0005-0000-0000-0000461B0000}"/>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3" xfId="23412" xr:uid="{00000000-0005-0000-0000-00004B1B0000}"/>
    <cellStyle name="20% - Accent4 8 3 3 3" xfId="11928" xr:uid="{00000000-0005-0000-0000-00004C1B0000}"/>
    <cellStyle name="20% - Accent4 8 3 3 4" xfId="19883" xr:uid="{00000000-0005-0000-0000-00004D1B0000}"/>
    <cellStyle name="20% - Accent4 8 3 4" xfId="5723" xr:uid="{00000000-0005-0000-0000-00004E1B0000}"/>
    <cellStyle name="20% - Accent4 8 3 4 2" xfId="13707" xr:uid="{00000000-0005-0000-0000-00004F1B0000}"/>
    <cellStyle name="20% - Accent4 8 3 4 3" xfId="21655" xr:uid="{00000000-0005-0000-0000-0000501B0000}"/>
    <cellStyle name="20% - Accent4 8 3 5" xfId="9276" xr:uid="{00000000-0005-0000-0000-0000511B0000}"/>
    <cellStyle name="20% - Accent4 8 3 5 2" xfId="17234" xr:uid="{00000000-0005-0000-0000-0000521B0000}"/>
    <cellStyle name="20% - Accent4 8 3 5 3" xfId="25178" xr:uid="{00000000-0005-0000-0000-0000531B0000}"/>
    <cellStyle name="20% - Accent4 8 3 6" xfId="10172" xr:uid="{00000000-0005-0000-0000-0000541B0000}"/>
    <cellStyle name="20% - Accent4 8 3 7" xfId="18127" xr:uid="{00000000-0005-0000-0000-0000551B0000}"/>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3" xfId="24863" xr:uid="{00000000-0005-0000-0000-00005C1B0000}"/>
    <cellStyle name="20% - Accent4 8 4 2 2 3" xfId="13379" xr:uid="{00000000-0005-0000-0000-00005D1B0000}"/>
    <cellStyle name="20% - Accent4 8 4 2 2 4" xfId="21334" xr:uid="{00000000-0005-0000-0000-00005E1B0000}"/>
    <cellStyle name="20% - Accent4 8 4 2 3" xfId="7187" xr:uid="{00000000-0005-0000-0000-00005F1B0000}"/>
    <cellStyle name="20% - Accent4 8 4 2 3 2" xfId="15159" xr:uid="{00000000-0005-0000-0000-0000601B0000}"/>
    <cellStyle name="20% - Accent4 8 4 2 3 3" xfId="23106" xr:uid="{00000000-0005-0000-0000-0000611B0000}"/>
    <cellStyle name="20% - Accent4 8 4 2 4" xfId="11623" xr:uid="{00000000-0005-0000-0000-0000621B0000}"/>
    <cellStyle name="20% - Accent4 8 4 2 5" xfId="19578" xr:uid="{00000000-0005-0000-0000-0000631B0000}"/>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3" xfId="23985" xr:uid="{00000000-0005-0000-0000-0000681B0000}"/>
    <cellStyle name="20% - Accent4 8 4 3 3" xfId="12501" xr:uid="{00000000-0005-0000-0000-0000691B0000}"/>
    <cellStyle name="20% - Accent4 8 4 3 4" xfId="20456" xr:uid="{00000000-0005-0000-0000-00006A1B0000}"/>
    <cellStyle name="20% - Accent4 8 4 4" xfId="6306" xr:uid="{00000000-0005-0000-0000-00006B1B0000}"/>
    <cellStyle name="20% - Accent4 8 4 4 2" xfId="14281" xr:uid="{00000000-0005-0000-0000-00006C1B0000}"/>
    <cellStyle name="20% - Accent4 8 4 4 3" xfId="22228" xr:uid="{00000000-0005-0000-0000-00006D1B0000}"/>
    <cellStyle name="20% - Accent4 8 4 5" xfId="9849" xr:uid="{00000000-0005-0000-0000-00006E1B0000}"/>
    <cellStyle name="20% - Accent4 8 4 5 2" xfId="17807" xr:uid="{00000000-0005-0000-0000-00006F1B0000}"/>
    <cellStyle name="20% - Accent4 8 4 5 3" xfId="25751" xr:uid="{00000000-0005-0000-0000-0000701B0000}"/>
    <cellStyle name="20% - Accent4 8 4 6" xfId="10745" xr:uid="{00000000-0005-0000-0000-0000711B0000}"/>
    <cellStyle name="20% - Accent4 8 4 7" xfId="18700" xr:uid="{00000000-0005-0000-0000-0000721B0000}"/>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3" xfId="24287" xr:uid="{00000000-0005-0000-0000-0000781B0000}"/>
    <cellStyle name="20% - Accent4 8 5 2 3" xfId="12803" xr:uid="{00000000-0005-0000-0000-0000791B0000}"/>
    <cellStyle name="20% - Accent4 8 5 2 4" xfId="20758" xr:uid="{00000000-0005-0000-0000-00007A1B0000}"/>
    <cellStyle name="20% - Accent4 8 5 3" xfId="6611" xr:uid="{00000000-0005-0000-0000-00007B1B0000}"/>
    <cellStyle name="20% - Accent4 8 5 3 2" xfId="14583" xr:uid="{00000000-0005-0000-0000-00007C1B0000}"/>
    <cellStyle name="20% - Accent4 8 5 3 3" xfId="22530" xr:uid="{00000000-0005-0000-0000-00007D1B0000}"/>
    <cellStyle name="20% - Accent4 8 5 4" xfId="11047" xr:uid="{00000000-0005-0000-0000-00007E1B0000}"/>
    <cellStyle name="20% - Accent4 8 5 5" xfId="19002" xr:uid="{00000000-0005-0000-0000-00007F1B0000}"/>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3" xfId="23409" xr:uid="{00000000-0005-0000-0000-0000841B0000}"/>
    <cellStyle name="20% - Accent4 8 6 3" xfId="11925" xr:uid="{00000000-0005-0000-0000-0000851B0000}"/>
    <cellStyle name="20% - Accent4 8 6 4" xfId="19880" xr:uid="{00000000-0005-0000-0000-0000861B0000}"/>
    <cellStyle name="20% - Accent4 8 7" xfId="5720" xr:uid="{00000000-0005-0000-0000-0000871B0000}"/>
    <cellStyle name="20% - Accent4 8 7 2" xfId="13704" xr:uid="{00000000-0005-0000-0000-0000881B0000}"/>
    <cellStyle name="20% - Accent4 8 7 3" xfId="21652" xr:uid="{00000000-0005-0000-0000-0000891B0000}"/>
    <cellStyle name="20% - Accent4 8 8" xfId="9273" xr:uid="{00000000-0005-0000-0000-00008A1B0000}"/>
    <cellStyle name="20% - Accent4 8 8 2" xfId="17231" xr:uid="{00000000-0005-0000-0000-00008B1B0000}"/>
    <cellStyle name="20% - Accent4 8 8 3" xfId="25175" xr:uid="{00000000-0005-0000-0000-00008C1B0000}"/>
    <cellStyle name="20% - Accent4 8 9" xfId="10169" xr:uid="{00000000-0005-0000-0000-00008D1B0000}"/>
    <cellStyle name="20% - Accent4 8_Exh G" xfId="2417" xr:uid="{00000000-0005-0000-0000-00008E1B0000}"/>
    <cellStyle name="20% - Accent4 9" xfId="225" xr:uid="{00000000-0005-0000-0000-00008F1B0000}"/>
    <cellStyle name="20% - Accent4 9 10" xfId="18128" xr:uid="{00000000-0005-0000-0000-0000901B0000}"/>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3" xfId="24293" xr:uid="{00000000-0005-0000-0000-0000971B0000}"/>
    <cellStyle name="20% - Accent4 9 2 2 2 2 3" xfId="12809" xr:uid="{00000000-0005-0000-0000-0000981B0000}"/>
    <cellStyle name="20% - Accent4 9 2 2 2 2 4" xfId="20764" xr:uid="{00000000-0005-0000-0000-0000991B0000}"/>
    <cellStyle name="20% - Accent4 9 2 2 2 3" xfId="6617" xr:uid="{00000000-0005-0000-0000-00009A1B0000}"/>
    <cellStyle name="20% - Accent4 9 2 2 2 3 2" xfId="14589" xr:uid="{00000000-0005-0000-0000-00009B1B0000}"/>
    <cellStyle name="20% - Accent4 9 2 2 2 3 3" xfId="22536" xr:uid="{00000000-0005-0000-0000-00009C1B0000}"/>
    <cellStyle name="20% - Accent4 9 2 2 2 4" xfId="11053" xr:uid="{00000000-0005-0000-0000-00009D1B0000}"/>
    <cellStyle name="20% - Accent4 9 2 2 2 5" xfId="19008" xr:uid="{00000000-0005-0000-0000-00009E1B0000}"/>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3" xfId="23415" xr:uid="{00000000-0005-0000-0000-0000A31B0000}"/>
    <cellStyle name="20% - Accent4 9 2 2 3 3" xfId="11931" xr:uid="{00000000-0005-0000-0000-0000A41B0000}"/>
    <cellStyle name="20% - Accent4 9 2 2 3 4" xfId="19886" xr:uid="{00000000-0005-0000-0000-0000A51B0000}"/>
    <cellStyle name="20% - Accent4 9 2 2 4" xfId="5726" xr:uid="{00000000-0005-0000-0000-0000A61B0000}"/>
    <cellStyle name="20% - Accent4 9 2 2 4 2" xfId="13710" xr:uid="{00000000-0005-0000-0000-0000A71B0000}"/>
    <cellStyle name="20% - Accent4 9 2 2 4 3" xfId="21658" xr:uid="{00000000-0005-0000-0000-0000A81B0000}"/>
    <cellStyle name="20% - Accent4 9 2 2 5" xfId="9279" xr:uid="{00000000-0005-0000-0000-0000A91B0000}"/>
    <cellStyle name="20% - Accent4 9 2 2 5 2" xfId="17237" xr:uid="{00000000-0005-0000-0000-0000AA1B0000}"/>
    <cellStyle name="20% - Accent4 9 2 2 5 3" xfId="25181" xr:uid="{00000000-0005-0000-0000-0000AB1B0000}"/>
    <cellStyle name="20% - Accent4 9 2 2 6" xfId="10175" xr:uid="{00000000-0005-0000-0000-0000AC1B0000}"/>
    <cellStyle name="20% - Accent4 9 2 2 7" xfId="18130" xr:uid="{00000000-0005-0000-0000-0000AD1B0000}"/>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3" xfId="24292" xr:uid="{00000000-0005-0000-0000-0000B31B0000}"/>
    <cellStyle name="20% - Accent4 9 2 3 2 3" xfId="12808" xr:uid="{00000000-0005-0000-0000-0000B41B0000}"/>
    <cellStyle name="20% - Accent4 9 2 3 2 4" xfId="20763" xr:uid="{00000000-0005-0000-0000-0000B51B0000}"/>
    <cellStyle name="20% - Accent4 9 2 3 3" xfId="6616" xr:uid="{00000000-0005-0000-0000-0000B61B0000}"/>
    <cellStyle name="20% - Accent4 9 2 3 3 2" xfId="14588" xr:uid="{00000000-0005-0000-0000-0000B71B0000}"/>
    <cellStyle name="20% - Accent4 9 2 3 3 3" xfId="22535" xr:uid="{00000000-0005-0000-0000-0000B81B0000}"/>
    <cellStyle name="20% - Accent4 9 2 3 4" xfId="11052" xr:uid="{00000000-0005-0000-0000-0000B91B0000}"/>
    <cellStyle name="20% - Accent4 9 2 3 5" xfId="19007" xr:uid="{00000000-0005-0000-0000-0000BA1B0000}"/>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3" xfId="23414" xr:uid="{00000000-0005-0000-0000-0000BF1B0000}"/>
    <cellStyle name="20% - Accent4 9 2 4 3" xfId="11930" xr:uid="{00000000-0005-0000-0000-0000C01B0000}"/>
    <cellStyle name="20% - Accent4 9 2 4 4" xfId="19885" xr:uid="{00000000-0005-0000-0000-0000C11B0000}"/>
    <cellStyle name="20% - Accent4 9 2 5" xfId="5725" xr:uid="{00000000-0005-0000-0000-0000C21B0000}"/>
    <cellStyle name="20% - Accent4 9 2 5 2" xfId="13709" xr:uid="{00000000-0005-0000-0000-0000C31B0000}"/>
    <cellStyle name="20% - Accent4 9 2 5 3" xfId="21657" xr:uid="{00000000-0005-0000-0000-0000C41B0000}"/>
    <cellStyle name="20% - Accent4 9 2 6" xfId="9278" xr:uid="{00000000-0005-0000-0000-0000C51B0000}"/>
    <cellStyle name="20% - Accent4 9 2 6 2" xfId="17236" xr:uid="{00000000-0005-0000-0000-0000C61B0000}"/>
    <cellStyle name="20% - Accent4 9 2 6 3" xfId="25180" xr:uid="{00000000-0005-0000-0000-0000C71B0000}"/>
    <cellStyle name="20% - Accent4 9 2 7" xfId="10174" xr:uid="{00000000-0005-0000-0000-0000C81B0000}"/>
    <cellStyle name="20% - Accent4 9 2 8" xfId="18129" xr:uid="{00000000-0005-0000-0000-0000C91B0000}"/>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3" xfId="24294" xr:uid="{00000000-0005-0000-0000-0000D01B0000}"/>
    <cellStyle name="20% - Accent4 9 3 2 2 3" xfId="12810" xr:uid="{00000000-0005-0000-0000-0000D11B0000}"/>
    <cellStyle name="20% - Accent4 9 3 2 2 4" xfId="20765" xr:uid="{00000000-0005-0000-0000-0000D21B0000}"/>
    <cellStyle name="20% - Accent4 9 3 2 3" xfId="6618" xr:uid="{00000000-0005-0000-0000-0000D31B0000}"/>
    <cellStyle name="20% - Accent4 9 3 2 3 2" xfId="14590" xr:uid="{00000000-0005-0000-0000-0000D41B0000}"/>
    <cellStyle name="20% - Accent4 9 3 2 3 3" xfId="22537" xr:uid="{00000000-0005-0000-0000-0000D51B0000}"/>
    <cellStyle name="20% - Accent4 9 3 2 4" xfId="11054" xr:uid="{00000000-0005-0000-0000-0000D61B0000}"/>
    <cellStyle name="20% - Accent4 9 3 2 5" xfId="19009" xr:uid="{00000000-0005-0000-0000-0000D71B0000}"/>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3" xfId="23416" xr:uid="{00000000-0005-0000-0000-0000DC1B0000}"/>
    <cellStyle name="20% - Accent4 9 3 3 3" xfId="11932" xr:uid="{00000000-0005-0000-0000-0000DD1B0000}"/>
    <cellStyle name="20% - Accent4 9 3 3 4" xfId="19887" xr:uid="{00000000-0005-0000-0000-0000DE1B0000}"/>
    <cellStyle name="20% - Accent4 9 3 4" xfId="5727" xr:uid="{00000000-0005-0000-0000-0000DF1B0000}"/>
    <cellStyle name="20% - Accent4 9 3 4 2" xfId="13711" xr:uid="{00000000-0005-0000-0000-0000E01B0000}"/>
    <cellStyle name="20% - Accent4 9 3 4 3" xfId="21659" xr:uid="{00000000-0005-0000-0000-0000E11B0000}"/>
    <cellStyle name="20% - Accent4 9 3 5" xfId="9280" xr:uid="{00000000-0005-0000-0000-0000E21B0000}"/>
    <cellStyle name="20% - Accent4 9 3 5 2" xfId="17238" xr:uid="{00000000-0005-0000-0000-0000E31B0000}"/>
    <cellStyle name="20% - Accent4 9 3 5 3" xfId="25182" xr:uid="{00000000-0005-0000-0000-0000E41B0000}"/>
    <cellStyle name="20% - Accent4 9 3 6" xfId="10176" xr:uid="{00000000-0005-0000-0000-0000E51B0000}"/>
    <cellStyle name="20% - Accent4 9 3 7" xfId="18131" xr:uid="{00000000-0005-0000-0000-0000E61B0000}"/>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3" xfId="24864" xr:uid="{00000000-0005-0000-0000-0000ED1B0000}"/>
    <cellStyle name="20% - Accent4 9 4 2 2 3" xfId="13380" xr:uid="{00000000-0005-0000-0000-0000EE1B0000}"/>
    <cellStyle name="20% - Accent4 9 4 2 2 4" xfId="21335" xr:uid="{00000000-0005-0000-0000-0000EF1B0000}"/>
    <cellStyle name="20% - Accent4 9 4 2 3" xfId="7188" xr:uid="{00000000-0005-0000-0000-0000F01B0000}"/>
    <cellStyle name="20% - Accent4 9 4 2 3 2" xfId="15160" xr:uid="{00000000-0005-0000-0000-0000F11B0000}"/>
    <cellStyle name="20% - Accent4 9 4 2 3 3" xfId="23107" xr:uid="{00000000-0005-0000-0000-0000F21B0000}"/>
    <cellStyle name="20% - Accent4 9 4 2 4" xfId="11624" xr:uid="{00000000-0005-0000-0000-0000F31B0000}"/>
    <cellStyle name="20% - Accent4 9 4 2 5" xfId="19579" xr:uid="{00000000-0005-0000-0000-0000F41B0000}"/>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3" xfId="23986" xr:uid="{00000000-0005-0000-0000-0000F91B0000}"/>
    <cellStyle name="20% - Accent4 9 4 3 3" xfId="12502" xr:uid="{00000000-0005-0000-0000-0000FA1B0000}"/>
    <cellStyle name="20% - Accent4 9 4 3 4" xfId="20457" xr:uid="{00000000-0005-0000-0000-0000FB1B0000}"/>
    <cellStyle name="20% - Accent4 9 4 4" xfId="6307" xr:uid="{00000000-0005-0000-0000-0000FC1B0000}"/>
    <cellStyle name="20% - Accent4 9 4 4 2" xfId="14282" xr:uid="{00000000-0005-0000-0000-0000FD1B0000}"/>
    <cellStyle name="20% - Accent4 9 4 4 3" xfId="22229" xr:uid="{00000000-0005-0000-0000-0000FE1B0000}"/>
    <cellStyle name="20% - Accent4 9 4 5" xfId="9850" xr:uid="{00000000-0005-0000-0000-0000FF1B0000}"/>
    <cellStyle name="20% - Accent4 9 4 5 2" xfId="17808" xr:uid="{00000000-0005-0000-0000-0000001C0000}"/>
    <cellStyle name="20% - Accent4 9 4 5 3" xfId="25752" xr:uid="{00000000-0005-0000-0000-0000011C0000}"/>
    <cellStyle name="20% - Accent4 9 4 6" xfId="10746" xr:uid="{00000000-0005-0000-0000-0000021C0000}"/>
    <cellStyle name="20% - Accent4 9 4 7" xfId="18701" xr:uid="{00000000-0005-0000-0000-0000031C0000}"/>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3" xfId="24291" xr:uid="{00000000-0005-0000-0000-0000091C0000}"/>
    <cellStyle name="20% - Accent4 9 5 2 3" xfId="12807" xr:uid="{00000000-0005-0000-0000-00000A1C0000}"/>
    <cellStyle name="20% - Accent4 9 5 2 4" xfId="20762" xr:uid="{00000000-0005-0000-0000-00000B1C0000}"/>
    <cellStyle name="20% - Accent4 9 5 3" xfId="6615" xr:uid="{00000000-0005-0000-0000-00000C1C0000}"/>
    <cellStyle name="20% - Accent4 9 5 3 2" xfId="14587" xr:uid="{00000000-0005-0000-0000-00000D1C0000}"/>
    <cellStyle name="20% - Accent4 9 5 3 3" xfId="22534" xr:uid="{00000000-0005-0000-0000-00000E1C0000}"/>
    <cellStyle name="20% - Accent4 9 5 4" xfId="11051" xr:uid="{00000000-0005-0000-0000-00000F1C0000}"/>
    <cellStyle name="20% - Accent4 9 5 5" xfId="19006" xr:uid="{00000000-0005-0000-0000-0000101C0000}"/>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3" xfId="23413" xr:uid="{00000000-0005-0000-0000-0000151C0000}"/>
    <cellStyle name="20% - Accent4 9 6 3" xfId="11929" xr:uid="{00000000-0005-0000-0000-0000161C0000}"/>
    <cellStyle name="20% - Accent4 9 6 4" xfId="19884" xr:uid="{00000000-0005-0000-0000-0000171C0000}"/>
    <cellStyle name="20% - Accent4 9 7" xfId="5724" xr:uid="{00000000-0005-0000-0000-0000181C0000}"/>
    <cellStyle name="20% - Accent4 9 7 2" xfId="13708" xr:uid="{00000000-0005-0000-0000-0000191C0000}"/>
    <cellStyle name="20% - Accent4 9 7 3" xfId="21656" xr:uid="{00000000-0005-0000-0000-00001A1C0000}"/>
    <cellStyle name="20% - Accent4 9 8" xfId="9277" xr:uid="{00000000-0005-0000-0000-00001B1C0000}"/>
    <cellStyle name="20% - Accent4 9 8 2" xfId="17235" xr:uid="{00000000-0005-0000-0000-00001C1C0000}"/>
    <cellStyle name="20% - Accent4 9 8 3" xfId="25179" xr:uid="{00000000-0005-0000-0000-00001D1C0000}"/>
    <cellStyle name="20% - Accent4 9 9" xfId="10173" xr:uid="{00000000-0005-0000-0000-00001E1C0000}"/>
    <cellStyle name="20% - Accent4 9_Exh G" xfId="2427" xr:uid="{00000000-0005-0000-0000-00001F1C0000}"/>
    <cellStyle name="20% - Accent5 10" xfId="229" xr:uid="{00000000-0005-0000-0000-0000201C0000}"/>
    <cellStyle name="20% - Accent5 10 10" xfId="18132" xr:uid="{00000000-0005-0000-0000-0000211C0000}"/>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3" xfId="24297" xr:uid="{00000000-0005-0000-0000-0000281C0000}"/>
    <cellStyle name="20% - Accent5 10 2 2 2 2 3" xfId="12813" xr:uid="{00000000-0005-0000-0000-0000291C0000}"/>
    <cellStyle name="20% - Accent5 10 2 2 2 2 4" xfId="20768" xr:uid="{00000000-0005-0000-0000-00002A1C0000}"/>
    <cellStyle name="20% - Accent5 10 2 2 2 3" xfId="6621" xr:uid="{00000000-0005-0000-0000-00002B1C0000}"/>
    <cellStyle name="20% - Accent5 10 2 2 2 3 2" xfId="14593" xr:uid="{00000000-0005-0000-0000-00002C1C0000}"/>
    <cellStyle name="20% - Accent5 10 2 2 2 3 3" xfId="22540" xr:uid="{00000000-0005-0000-0000-00002D1C0000}"/>
    <cellStyle name="20% - Accent5 10 2 2 2 4" xfId="11057" xr:uid="{00000000-0005-0000-0000-00002E1C0000}"/>
    <cellStyle name="20% - Accent5 10 2 2 2 5" xfId="19012" xr:uid="{00000000-0005-0000-0000-00002F1C0000}"/>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3" xfId="23419" xr:uid="{00000000-0005-0000-0000-0000341C0000}"/>
    <cellStyle name="20% - Accent5 10 2 2 3 3" xfId="11935" xr:uid="{00000000-0005-0000-0000-0000351C0000}"/>
    <cellStyle name="20% - Accent5 10 2 2 3 4" xfId="19890" xr:uid="{00000000-0005-0000-0000-0000361C0000}"/>
    <cellStyle name="20% - Accent5 10 2 2 4" xfId="5730" xr:uid="{00000000-0005-0000-0000-0000371C0000}"/>
    <cellStyle name="20% - Accent5 10 2 2 4 2" xfId="13714" xr:uid="{00000000-0005-0000-0000-0000381C0000}"/>
    <cellStyle name="20% - Accent5 10 2 2 4 3" xfId="21662" xr:uid="{00000000-0005-0000-0000-0000391C0000}"/>
    <cellStyle name="20% - Accent5 10 2 2 5" xfId="9283" xr:uid="{00000000-0005-0000-0000-00003A1C0000}"/>
    <cellStyle name="20% - Accent5 10 2 2 5 2" xfId="17241" xr:uid="{00000000-0005-0000-0000-00003B1C0000}"/>
    <cellStyle name="20% - Accent5 10 2 2 5 3" xfId="25185" xr:uid="{00000000-0005-0000-0000-00003C1C0000}"/>
    <cellStyle name="20% - Accent5 10 2 2 6" xfId="10179" xr:uid="{00000000-0005-0000-0000-00003D1C0000}"/>
    <cellStyle name="20% - Accent5 10 2 2 7" xfId="18134" xr:uid="{00000000-0005-0000-0000-00003E1C0000}"/>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3" xfId="24296" xr:uid="{00000000-0005-0000-0000-0000441C0000}"/>
    <cellStyle name="20% - Accent5 10 2 3 2 3" xfId="12812" xr:uid="{00000000-0005-0000-0000-0000451C0000}"/>
    <cellStyle name="20% - Accent5 10 2 3 2 4" xfId="20767" xr:uid="{00000000-0005-0000-0000-0000461C0000}"/>
    <cellStyle name="20% - Accent5 10 2 3 3" xfId="6620" xr:uid="{00000000-0005-0000-0000-0000471C0000}"/>
    <cellStyle name="20% - Accent5 10 2 3 3 2" xfId="14592" xr:uid="{00000000-0005-0000-0000-0000481C0000}"/>
    <cellStyle name="20% - Accent5 10 2 3 3 3" xfId="22539" xr:uid="{00000000-0005-0000-0000-0000491C0000}"/>
    <cellStyle name="20% - Accent5 10 2 3 4" xfId="11056" xr:uid="{00000000-0005-0000-0000-00004A1C0000}"/>
    <cellStyle name="20% - Accent5 10 2 3 5" xfId="19011" xr:uid="{00000000-0005-0000-0000-00004B1C0000}"/>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3" xfId="23418" xr:uid="{00000000-0005-0000-0000-0000501C0000}"/>
    <cellStyle name="20% - Accent5 10 2 4 3" xfId="11934" xr:uid="{00000000-0005-0000-0000-0000511C0000}"/>
    <cellStyle name="20% - Accent5 10 2 4 4" xfId="19889" xr:uid="{00000000-0005-0000-0000-0000521C0000}"/>
    <cellStyle name="20% - Accent5 10 2 5" xfId="5729" xr:uid="{00000000-0005-0000-0000-0000531C0000}"/>
    <cellStyle name="20% - Accent5 10 2 5 2" xfId="13713" xr:uid="{00000000-0005-0000-0000-0000541C0000}"/>
    <cellStyle name="20% - Accent5 10 2 5 3" xfId="21661" xr:uid="{00000000-0005-0000-0000-0000551C0000}"/>
    <cellStyle name="20% - Accent5 10 2 6" xfId="9282" xr:uid="{00000000-0005-0000-0000-0000561C0000}"/>
    <cellStyle name="20% - Accent5 10 2 6 2" xfId="17240" xr:uid="{00000000-0005-0000-0000-0000571C0000}"/>
    <cellStyle name="20% - Accent5 10 2 6 3" xfId="25184" xr:uid="{00000000-0005-0000-0000-0000581C0000}"/>
    <cellStyle name="20% - Accent5 10 2 7" xfId="10178" xr:uid="{00000000-0005-0000-0000-0000591C0000}"/>
    <cellStyle name="20% - Accent5 10 2 8" xfId="18133" xr:uid="{00000000-0005-0000-0000-00005A1C0000}"/>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3" xfId="24298" xr:uid="{00000000-0005-0000-0000-0000611C0000}"/>
    <cellStyle name="20% - Accent5 10 3 2 2 3" xfId="12814" xr:uid="{00000000-0005-0000-0000-0000621C0000}"/>
    <cellStyle name="20% - Accent5 10 3 2 2 4" xfId="20769" xr:uid="{00000000-0005-0000-0000-0000631C0000}"/>
    <cellStyle name="20% - Accent5 10 3 2 3" xfId="6622" xr:uid="{00000000-0005-0000-0000-0000641C0000}"/>
    <cellStyle name="20% - Accent5 10 3 2 3 2" xfId="14594" xr:uid="{00000000-0005-0000-0000-0000651C0000}"/>
    <cellStyle name="20% - Accent5 10 3 2 3 3" xfId="22541" xr:uid="{00000000-0005-0000-0000-0000661C0000}"/>
    <cellStyle name="20% - Accent5 10 3 2 4" xfId="11058" xr:uid="{00000000-0005-0000-0000-0000671C0000}"/>
    <cellStyle name="20% - Accent5 10 3 2 5" xfId="19013" xr:uid="{00000000-0005-0000-0000-0000681C0000}"/>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3" xfId="23420" xr:uid="{00000000-0005-0000-0000-00006D1C0000}"/>
    <cellStyle name="20% - Accent5 10 3 3 3" xfId="11936" xr:uid="{00000000-0005-0000-0000-00006E1C0000}"/>
    <cellStyle name="20% - Accent5 10 3 3 4" xfId="19891" xr:uid="{00000000-0005-0000-0000-00006F1C0000}"/>
    <cellStyle name="20% - Accent5 10 3 4" xfId="5731" xr:uid="{00000000-0005-0000-0000-0000701C0000}"/>
    <cellStyle name="20% - Accent5 10 3 4 2" xfId="13715" xr:uid="{00000000-0005-0000-0000-0000711C0000}"/>
    <cellStyle name="20% - Accent5 10 3 4 3" xfId="21663" xr:uid="{00000000-0005-0000-0000-0000721C0000}"/>
    <cellStyle name="20% - Accent5 10 3 5" xfId="9284" xr:uid="{00000000-0005-0000-0000-0000731C0000}"/>
    <cellStyle name="20% - Accent5 10 3 5 2" xfId="17242" xr:uid="{00000000-0005-0000-0000-0000741C0000}"/>
    <cellStyle name="20% - Accent5 10 3 5 3" xfId="25186" xr:uid="{00000000-0005-0000-0000-0000751C0000}"/>
    <cellStyle name="20% - Accent5 10 3 6" xfId="10180" xr:uid="{00000000-0005-0000-0000-0000761C0000}"/>
    <cellStyle name="20% - Accent5 10 3 7" xfId="18135" xr:uid="{00000000-0005-0000-0000-0000771C0000}"/>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3" xfId="24295" xr:uid="{00000000-0005-0000-0000-00007E1C0000}"/>
    <cellStyle name="20% - Accent5 10 5 2 3" xfId="12811" xr:uid="{00000000-0005-0000-0000-00007F1C0000}"/>
    <cellStyle name="20% - Accent5 10 5 2 4" xfId="20766" xr:uid="{00000000-0005-0000-0000-0000801C0000}"/>
    <cellStyle name="20% - Accent5 10 5 3" xfId="6619" xr:uid="{00000000-0005-0000-0000-0000811C0000}"/>
    <cellStyle name="20% - Accent5 10 5 3 2" xfId="14591" xr:uid="{00000000-0005-0000-0000-0000821C0000}"/>
    <cellStyle name="20% - Accent5 10 5 3 3" xfId="22538" xr:uid="{00000000-0005-0000-0000-0000831C0000}"/>
    <cellStyle name="20% - Accent5 10 5 4" xfId="11055" xr:uid="{00000000-0005-0000-0000-0000841C0000}"/>
    <cellStyle name="20% - Accent5 10 5 5" xfId="19010" xr:uid="{00000000-0005-0000-0000-0000851C0000}"/>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3" xfId="23417" xr:uid="{00000000-0005-0000-0000-00008A1C0000}"/>
    <cellStyle name="20% - Accent5 10 6 3" xfId="11933" xr:uid="{00000000-0005-0000-0000-00008B1C0000}"/>
    <cellStyle name="20% - Accent5 10 6 4" xfId="19888" xr:uid="{00000000-0005-0000-0000-00008C1C0000}"/>
    <cellStyle name="20% - Accent5 10 7" xfId="5728" xr:uid="{00000000-0005-0000-0000-00008D1C0000}"/>
    <cellStyle name="20% - Accent5 10 7 2" xfId="13712" xr:uid="{00000000-0005-0000-0000-00008E1C0000}"/>
    <cellStyle name="20% - Accent5 10 7 3" xfId="21660" xr:uid="{00000000-0005-0000-0000-00008F1C0000}"/>
    <cellStyle name="20% - Accent5 10 8" xfId="9281" xr:uid="{00000000-0005-0000-0000-0000901C0000}"/>
    <cellStyle name="20% - Accent5 10 8 2" xfId="17239" xr:uid="{00000000-0005-0000-0000-0000911C0000}"/>
    <cellStyle name="20% - Accent5 10 8 3" xfId="25183" xr:uid="{00000000-0005-0000-0000-0000921C0000}"/>
    <cellStyle name="20% - Accent5 10 9" xfId="10177" xr:uid="{00000000-0005-0000-0000-0000931C0000}"/>
    <cellStyle name="20% - Accent5 10_Exh G" xfId="2437" xr:uid="{00000000-0005-0000-0000-0000941C0000}"/>
    <cellStyle name="20% - Accent5 11" xfId="233" xr:uid="{00000000-0005-0000-0000-0000951C0000}"/>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3" xfId="24301" xr:uid="{00000000-0005-0000-0000-00009C1C0000}"/>
    <cellStyle name="20% - Accent5 11 2 2 2 2 3" xfId="12817" xr:uid="{00000000-0005-0000-0000-00009D1C0000}"/>
    <cellStyle name="20% - Accent5 11 2 2 2 2 4" xfId="20772" xr:uid="{00000000-0005-0000-0000-00009E1C0000}"/>
    <cellStyle name="20% - Accent5 11 2 2 2 3" xfId="6625" xr:uid="{00000000-0005-0000-0000-00009F1C0000}"/>
    <cellStyle name="20% - Accent5 11 2 2 2 3 2" xfId="14597" xr:uid="{00000000-0005-0000-0000-0000A01C0000}"/>
    <cellStyle name="20% - Accent5 11 2 2 2 3 3" xfId="22544" xr:uid="{00000000-0005-0000-0000-0000A11C0000}"/>
    <cellStyle name="20% - Accent5 11 2 2 2 4" xfId="11061" xr:uid="{00000000-0005-0000-0000-0000A21C0000}"/>
    <cellStyle name="20% - Accent5 11 2 2 2 5" xfId="19016" xr:uid="{00000000-0005-0000-0000-0000A31C0000}"/>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3" xfId="23423" xr:uid="{00000000-0005-0000-0000-0000A81C0000}"/>
    <cellStyle name="20% - Accent5 11 2 2 3 3" xfId="11939" xr:uid="{00000000-0005-0000-0000-0000A91C0000}"/>
    <cellStyle name="20% - Accent5 11 2 2 3 4" xfId="19894" xr:uid="{00000000-0005-0000-0000-0000AA1C0000}"/>
    <cellStyle name="20% - Accent5 11 2 2 4" xfId="5734" xr:uid="{00000000-0005-0000-0000-0000AB1C0000}"/>
    <cellStyle name="20% - Accent5 11 2 2 4 2" xfId="13718" xr:uid="{00000000-0005-0000-0000-0000AC1C0000}"/>
    <cellStyle name="20% - Accent5 11 2 2 4 3" xfId="21666" xr:uid="{00000000-0005-0000-0000-0000AD1C0000}"/>
    <cellStyle name="20% - Accent5 11 2 2 5" xfId="9287" xr:uid="{00000000-0005-0000-0000-0000AE1C0000}"/>
    <cellStyle name="20% - Accent5 11 2 2 5 2" xfId="17245" xr:uid="{00000000-0005-0000-0000-0000AF1C0000}"/>
    <cellStyle name="20% - Accent5 11 2 2 5 3" xfId="25189" xr:uid="{00000000-0005-0000-0000-0000B01C0000}"/>
    <cellStyle name="20% - Accent5 11 2 2 6" xfId="10183" xr:uid="{00000000-0005-0000-0000-0000B11C0000}"/>
    <cellStyle name="20% - Accent5 11 2 2 7" xfId="18138" xr:uid="{00000000-0005-0000-0000-0000B21C0000}"/>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3" xfId="24300" xr:uid="{00000000-0005-0000-0000-0000B81C0000}"/>
    <cellStyle name="20% - Accent5 11 2 3 2 3" xfId="12816" xr:uid="{00000000-0005-0000-0000-0000B91C0000}"/>
    <cellStyle name="20% - Accent5 11 2 3 2 4" xfId="20771" xr:uid="{00000000-0005-0000-0000-0000BA1C0000}"/>
    <cellStyle name="20% - Accent5 11 2 3 3" xfId="6624" xr:uid="{00000000-0005-0000-0000-0000BB1C0000}"/>
    <cellStyle name="20% - Accent5 11 2 3 3 2" xfId="14596" xr:uid="{00000000-0005-0000-0000-0000BC1C0000}"/>
    <cellStyle name="20% - Accent5 11 2 3 3 3" xfId="22543" xr:uid="{00000000-0005-0000-0000-0000BD1C0000}"/>
    <cellStyle name="20% - Accent5 11 2 3 4" xfId="11060" xr:uid="{00000000-0005-0000-0000-0000BE1C0000}"/>
    <cellStyle name="20% - Accent5 11 2 3 5" xfId="19015" xr:uid="{00000000-0005-0000-0000-0000BF1C0000}"/>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3" xfId="23422" xr:uid="{00000000-0005-0000-0000-0000C41C0000}"/>
    <cellStyle name="20% - Accent5 11 2 4 3" xfId="11938" xr:uid="{00000000-0005-0000-0000-0000C51C0000}"/>
    <cellStyle name="20% - Accent5 11 2 4 4" xfId="19893" xr:uid="{00000000-0005-0000-0000-0000C61C0000}"/>
    <cellStyle name="20% - Accent5 11 2 5" xfId="5733" xr:uid="{00000000-0005-0000-0000-0000C71C0000}"/>
    <cellStyle name="20% - Accent5 11 2 5 2" xfId="13717" xr:uid="{00000000-0005-0000-0000-0000C81C0000}"/>
    <cellStyle name="20% - Accent5 11 2 5 3" xfId="21665" xr:uid="{00000000-0005-0000-0000-0000C91C0000}"/>
    <cellStyle name="20% - Accent5 11 2 6" xfId="9286" xr:uid="{00000000-0005-0000-0000-0000CA1C0000}"/>
    <cellStyle name="20% - Accent5 11 2 6 2" xfId="17244" xr:uid="{00000000-0005-0000-0000-0000CB1C0000}"/>
    <cellStyle name="20% - Accent5 11 2 6 3" xfId="25188" xr:uid="{00000000-0005-0000-0000-0000CC1C0000}"/>
    <cellStyle name="20% - Accent5 11 2 7" xfId="10182" xr:uid="{00000000-0005-0000-0000-0000CD1C0000}"/>
    <cellStyle name="20% - Accent5 11 2 8" xfId="18137" xr:uid="{00000000-0005-0000-0000-0000CE1C0000}"/>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3" xfId="24302" xr:uid="{00000000-0005-0000-0000-0000D51C0000}"/>
    <cellStyle name="20% - Accent5 11 3 2 2 3" xfId="12818" xr:uid="{00000000-0005-0000-0000-0000D61C0000}"/>
    <cellStyle name="20% - Accent5 11 3 2 2 4" xfId="20773" xr:uid="{00000000-0005-0000-0000-0000D71C0000}"/>
    <cellStyle name="20% - Accent5 11 3 2 3" xfId="6626" xr:uid="{00000000-0005-0000-0000-0000D81C0000}"/>
    <cellStyle name="20% - Accent5 11 3 2 3 2" xfId="14598" xr:uid="{00000000-0005-0000-0000-0000D91C0000}"/>
    <cellStyle name="20% - Accent5 11 3 2 3 3" xfId="22545" xr:uid="{00000000-0005-0000-0000-0000DA1C0000}"/>
    <cellStyle name="20% - Accent5 11 3 2 4" xfId="11062" xr:uid="{00000000-0005-0000-0000-0000DB1C0000}"/>
    <cellStyle name="20% - Accent5 11 3 2 5" xfId="19017" xr:uid="{00000000-0005-0000-0000-0000DC1C000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3" xfId="23424" xr:uid="{00000000-0005-0000-0000-0000E11C0000}"/>
    <cellStyle name="20% - Accent5 11 3 3 3" xfId="11940" xr:uid="{00000000-0005-0000-0000-0000E21C0000}"/>
    <cellStyle name="20% - Accent5 11 3 3 4" xfId="19895" xr:uid="{00000000-0005-0000-0000-0000E31C0000}"/>
    <cellStyle name="20% - Accent5 11 3 4" xfId="5735" xr:uid="{00000000-0005-0000-0000-0000E41C0000}"/>
    <cellStyle name="20% - Accent5 11 3 4 2" xfId="13719" xr:uid="{00000000-0005-0000-0000-0000E51C0000}"/>
    <cellStyle name="20% - Accent5 11 3 4 3" xfId="21667" xr:uid="{00000000-0005-0000-0000-0000E61C0000}"/>
    <cellStyle name="20% - Accent5 11 3 5" xfId="9288" xr:uid="{00000000-0005-0000-0000-0000E71C0000}"/>
    <cellStyle name="20% - Accent5 11 3 5 2" xfId="17246" xr:uid="{00000000-0005-0000-0000-0000E81C0000}"/>
    <cellStyle name="20% - Accent5 11 3 5 3" xfId="25190" xr:uid="{00000000-0005-0000-0000-0000E91C0000}"/>
    <cellStyle name="20% - Accent5 11 3 6" xfId="10184" xr:uid="{00000000-0005-0000-0000-0000EA1C0000}"/>
    <cellStyle name="20% - Accent5 11 3 7" xfId="18139" xr:uid="{00000000-0005-0000-0000-0000EB1C0000}"/>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3" xfId="24299" xr:uid="{00000000-0005-0000-0000-0000F11C0000}"/>
    <cellStyle name="20% - Accent5 11 4 2 3" xfId="12815" xr:uid="{00000000-0005-0000-0000-0000F21C0000}"/>
    <cellStyle name="20% - Accent5 11 4 2 4" xfId="20770" xr:uid="{00000000-0005-0000-0000-0000F31C0000}"/>
    <cellStyle name="20% - Accent5 11 4 3" xfId="6623" xr:uid="{00000000-0005-0000-0000-0000F41C0000}"/>
    <cellStyle name="20% - Accent5 11 4 3 2" xfId="14595" xr:uid="{00000000-0005-0000-0000-0000F51C0000}"/>
    <cellStyle name="20% - Accent5 11 4 3 3" xfId="22542" xr:uid="{00000000-0005-0000-0000-0000F61C0000}"/>
    <cellStyle name="20% - Accent5 11 4 4" xfId="11059" xr:uid="{00000000-0005-0000-0000-0000F71C0000}"/>
    <cellStyle name="20% - Accent5 11 4 5" xfId="19014" xr:uid="{00000000-0005-0000-0000-0000F81C0000}"/>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3" xfId="23421" xr:uid="{00000000-0005-0000-0000-0000FD1C0000}"/>
    <cellStyle name="20% - Accent5 11 5 3" xfId="11937" xr:uid="{00000000-0005-0000-0000-0000FE1C0000}"/>
    <cellStyle name="20% - Accent5 11 5 4" xfId="19892" xr:uid="{00000000-0005-0000-0000-0000FF1C0000}"/>
    <cellStyle name="20% - Accent5 11 6" xfId="5732" xr:uid="{00000000-0005-0000-0000-0000001D0000}"/>
    <cellStyle name="20% - Accent5 11 6 2" xfId="13716" xr:uid="{00000000-0005-0000-0000-0000011D0000}"/>
    <cellStyle name="20% - Accent5 11 6 3" xfId="21664" xr:uid="{00000000-0005-0000-0000-0000021D0000}"/>
    <cellStyle name="20% - Accent5 11 7" xfId="9285" xr:uid="{00000000-0005-0000-0000-0000031D0000}"/>
    <cellStyle name="20% - Accent5 11 7 2" xfId="17243" xr:uid="{00000000-0005-0000-0000-0000041D0000}"/>
    <cellStyle name="20% - Accent5 11 7 3" xfId="25187" xr:uid="{00000000-0005-0000-0000-0000051D0000}"/>
    <cellStyle name="20% - Accent5 11 8" xfId="10181" xr:uid="{00000000-0005-0000-0000-0000061D0000}"/>
    <cellStyle name="20% - Accent5 11 9" xfId="18136" xr:uid="{00000000-0005-0000-0000-0000071D0000}"/>
    <cellStyle name="20% - Accent5 11_Exh G" xfId="2445" xr:uid="{00000000-0005-0000-0000-0000081D0000}"/>
    <cellStyle name="20% - Accent5 12" xfId="237" xr:uid="{00000000-0005-0000-0000-0000091D00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3" xfId="24305" xr:uid="{00000000-0005-0000-0000-0000101D0000}"/>
    <cellStyle name="20% - Accent5 12 2 2 2 2 3" xfId="12821" xr:uid="{00000000-0005-0000-0000-0000111D0000}"/>
    <cellStyle name="20% - Accent5 12 2 2 2 2 4" xfId="20776" xr:uid="{00000000-0005-0000-0000-0000121D0000}"/>
    <cellStyle name="20% - Accent5 12 2 2 2 3" xfId="6629" xr:uid="{00000000-0005-0000-0000-0000131D0000}"/>
    <cellStyle name="20% - Accent5 12 2 2 2 3 2" xfId="14601" xr:uid="{00000000-0005-0000-0000-0000141D0000}"/>
    <cellStyle name="20% - Accent5 12 2 2 2 3 3" xfId="22548" xr:uid="{00000000-0005-0000-0000-0000151D0000}"/>
    <cellStyle name="20% - Accent5 12 2 2 2 4" xfId="11065" xr:uid="{00000000-0005-0000-0000-0000161D0000}"/>
    <cellStyle name="20% - Accent5 12 2 2 2 5" xfId="19020" xr:uid="{00000000-0005-0000-0000-0000171D0000}"/>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3" xfId="23427" xr:uid="{00000000-0005-0000-0000-00001C1D0000}"/>
    <cellStyle name="20% - Accent5 12 2 2 3 3" xfId="11943" xr:uid="{00000000-0005-0000-0000-00001D1D0000}"/>
    <cellStyle name="20% - Accent5 12 2 2 3 4" xfId="19898" xr:uid="{00000000-0005-0000-0000-00001E1D0000}"/>
    <cellStyle name="20% - Accent5 12 2 2 4" xfId="5738" xr:uid="{00000000-0005-0000-0000-00001F1D0000}"/>
    <cellStyle name="20% - Accent5 12 2 2 4 2" xfId="13722" xr:uid="{00000000-0005-0000-0000-0000201D0000}"/>
    <cellStyle name="20% - Accent5 12 2 2 4 3" xfId="21670" xr:uid="{00000000-0005-0000-0000-0000211D0000}"/>
    <cellStyle name="20% - Accent5 12 2 2 5" xfId="9291" xr:uid="{00000000-0005-0000-0000-0000221D0000}"/>
    <cellStyle name="20% - Accent5 12 2 2 5 2" xfId="17249" xr:uid="{00000000-0005-0000-0000-0000231D0000}"/>
    <cellStyle name="20% - Accent5 12 2 2 5 3" xfId="25193" xr:uid="{00000000-0005-0000-0000-0000241D0000}"/>
    <cellStyle name="20% - Accent5 12 2 2 6" xfId="10187" xr:uid="{00000000-0005-0000-0000-0000251D0000}"/>
    <cellStyle name="20% - Accent5 12 2 2 7" xfId="18142" xr:uid="{00000000-0005-0000-0000-0000261D0000}"/>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3" xfId="24304" xr:uid="{00000000-0005-0000-0000-00002C1D0000}"/>
    <cellStyle name="20% - Accent5 12 2 3 2 3" xfId="12820" xr:uid="{00000000-0005-0000-0000-00002D1D0000}"/>
    <cellStyle name="20% - Accent5 12 2 3 2 4" xfId="20775" xr:uid="{00000000-0005-0000-0000-00002E1D0000}"/>
    <cellStyle name="20% - Accent5 12 2 3 3" xfId="6628" xr:uid="{00000000-0005-0000-0000-00002F1D0000}"/>
    <cellStyle name="20% - Accent5 12 2 3 3 2" xfId="14600" xr:uid="{00000000-0005-0000-0000-0000301D0000}"/>
    <cellStyle name="20% - Accent5 12 2 3 3 3" xfId="22547" xr:uid="{00000000-0005-0000-0000-0000311D0000}"/>
    <cellStyle name="20% - Accent5 12 2 3 4" xfId="11064" xr:uid="{00000000-0005-0000-0000-0000321D0000}"/>
    <cellStyle name="20% - Accent5 12 2 3 5" xfId="19019" xr:uid="{00000000-0005-0000-0000-0000331D0000}"/>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3" xfId="23426" xr:uid="{00000000-0005-0000-0000-0000381D0000}"/>
    <cellStyle name="20% - Accent5 12 2 4 3" xfId="11942" xr:uid="{00000000-0005-0000-0000-0000391D0000}"/>
    <cellStyle name="20% - Accent5 12 2 4 4" xfId="19897" xr:uid="{00000000-0005-0000-0000-00003A1D0000}"/>
    <cellStyle name="20% - Accent5 12 2 5" xfId="5737" xr:uid="{00000000-0005-0000-0000-00003B1D0000}"/>
    <cellStyle name="20% - Accent5 12 2 5 2" xfId="13721" xr:uid="{00000000-0005-0000-0000-00003C1D0000}"/>
    <cellStyle name="20% - Accent5 12 2 5 3" xfId="21669" xr:uid="{00000000-0005-0000-0000-00003D1D0000}"/>
    <cellStyle name="20% - Accent5 12 2 6" xfId="9290" xr:uid="{00000000-0005-0000-0000-00003E1D0000}"/>
    <cellStyle name="20% - Accent5 12 2 6 2" xfId="17248" xr:uid="{00000000-0005-0000-0000-00003F1D0000}"/>
    <cellStyle name="20% - Accent5 12 2 6 3" xfId="25192" xr:uid="{00000000-0005-0000-0000-0000401D0000}"/>
    <cellStyle name="20% - Accent5 12 2 7" xfId="10186" xr:uid="{00000000-0005-0000-0000-0000411D0000}"/>
    <cellStyle name="20% - Accent5 12 2 8" xfId="18141" xr:uid="{00000000-0005-0000-0000-0000421D0000}"/>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3" xfId="24306" xr:uid="{00000000-0005-0000-0000-0000491D0000}"/>
    <cellStyle name="20% - Accent5 12 3 2 2 3" xfId="12822" xr:uid="{00000000-0005-0000-0000-00004A1D0000}"/>
    <cellStyle name="20% - Accent5 12 3 2 2 4" xfId="20777" xr:uid="{00000000-0005-0000-0000-00004B1D0000}"/>
    <cellStyle name="20% - Accent5 12 3 2 3" xfId="6630" xr:uid="{00000000-0005-0000-0000-00004C1D0000}"/>
    <cellStyle name="20% - Accent5 12 3 2 3 2" xfId="14602" xr:uid="{00000000-0005-0000-0000-00004D1D0000}"/>
    <cellStyle name="20% - Accent5 12 3 2 3 3" xfId="22549" xr:uid="{00000000-0005-0000-0000-00004E1D0000}"/>
    <cellStyle name="20% - Accent5 12 3 2 4" xfId="11066" xr:uid="{00000000-0005-0000-0000-00004F1D0000}"/>
    <cellStyle name="20% - Accent5 12 3 2 5" xfId="19021" xr:uid="{00000000-0005-0000-0000-0000501D0000}"/>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3" xfId="23428" xr:uid="{00000000-0005-0000-0000-0000551D0000}"/>
    <cellStyle name="20% - Accent5 12 3 3 3" xfId="11944" xr:uid="{00000000-0005-0000-0000-0000561D0000}"/>
    <cellStyle name="20% - Accent5 12 3 3 4" xfId="19899" xr:uid="{00000000-0005-0000-0000-0000571D0000}"/>
    <cellStyle name="20% - Accent5 12 3 4" xfId="5739" xr:uid="{00000000-0005-0000-0000-0000581D0000}"/>
    <cellStyle name="20% - Accent5 12 3 4 2" xfId="13723" xr:uid="{00000000-0005-0000-0000-0000591D0000}"/>
    <cellStyle name="20% - Accent5 12 3 4 3" xfId="21671" xr:uid="{00000000-0005-0000-0000-00005A1D0000}"/>
    <cellStyle name="20% - Accent5 12 3 5" xfId="9292" xr:uid="{00000000-0005-0000-0000-00005B1D0000}"/>
    <cellStyle name="20% - Accent5 12 3 5 2" xfId="17250" xr:uid="{00000000-0005-0000-0000-00005C1D0000}"/>
    <cellStyle name="20% - Accent5 12 3 5 3" xfId="25194" xr:uid="{00000000-0005-0000-0000-00005D1D0000}"/>
    <cellStyle name="20% - Accent5 12 3 6" xfId="10188" xr:uid="{00000000-0005-0000-0000-00005E1D0000}"/>
    <cellStyle name="20% - Accent5 12 3 7" xfId="18143" xr:uid="{00000000-0005-0000-0000-00005F1D0000}"/>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3" xfId="24303" xr:uid="{00000000-0005-0000-0000-0000651D0000}"/>
    <cellStyle name="20% - Accent5 12 4 2 3" xfId="12819" xr:uid="{00000000-0005-0000-0000-0000661D0000}"/>
    <cellStyle name="20% - Accent5 12 4 2 4" xfId="20774" xr:uid="{00000000-0005-0000-0000-0000671D0000}"/>
    <cellStyle name="20% - Accent5 12 4 3" xfId="6627" xr:uid="{00000000-0005-0000-0000-0000681D0000}"/>
    <cellStyle name="20% - Accent5 12 4 3 2" xfId="14599" xr:uid="{00000000-0005-0000-0000-0000691D0000}"/>
    <cellStyle name="20% - Accent5 12 4 3 3" xfId="22546" xr:uid="{00000000-0005-0000-0000-00006A1D0000}"/>
    <cellStyle name="20% - Accent5 12 4 4" xfId="11063" xr:uid="{00000000-0005-0000-0000-00006B1D0000}"/>
    <cellStyle name="20% - Accent5 12 4 5" xfId="19018" xr:uid="{00000000-0005-0000-0000-00006C1D0000}"/>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3" xfId="23425" xr:uid="{00000000-0005-0000-0000-0000711D0000}"/>
    <cellStyle name="20% - Accent5 12 5 3" xfId="11941" xr:uid="{00000000-0005-0000-0000-0000721D0000}"/>
    <cellStyle name="20% - Accent5 12 5 4" xfId="19896" xr:uid="{00000000-0005-0000-0000-0000731D0000}"/>
    <cellStyle name="20% - Accent5 12 6" xfId="5736" xr:uid="{00000000-0005-0000-0000-0000741D0000}"/>
    <cellStyle name="20% - Accent5 12 6 2" xfId="13720" xr:uid="{00000000-0005-0000-0000-0000751D0000}"/>
    <cellStyle name="20% - Accent5 12 6 3" xfId="21668" xr:uid="{00000000-0005-0000-0000-0000761D0000}"/>
    <cellStyle name="20% - Accent5 12 7" xfId="9289" xr:uid="{00000000-0005-0000-0000-0000771D0000}"/>
    <cellStyle name="20% - Accent5 12 7 2" xfId="17247" xr:uid="{00000000-0005-0000-0000-0000781D0000}"/>
    <cellStyle name="20% - Accent5 12 7 3" xfId="25191" xr:uid="{00000000-0005-0000-0000-0000791D0000}"/>
    <cellStyle name="20% - Accent5 12 8" xfId="10185" xr:uid="{00000000-0005-0000-0000-00007A1D0000}"/>
    <cellStyle name="20% - Accent5 12 9" xfId="18140" xr:uid="{00000000-0005-0000-0000-00007B1D0000}"/>
    <cellStyle name="20% - Accent5 12_Exh G" xfId="2453" xr:uid="{00000000-0005-0000-0000-00007C1D0000}"/>
    <cellStyle name="20% - Accent5 13" xfId="241" xr:uid="{00000000-0005-0000-0000-00007D1D0000}"/>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3" xfId="24309" xr:uid="{00000000-0005-0000-0000-0000841D0000}"/>
    <cellStyle name="20% - Accent5 13 2 2 2 2 3" xfId="12825" xr:uid="{00000000-0005-0000-0000-0000851D0000}"/>
    <cellStyle name="20% - Accent5 13 2 2 2 2 4" xfId="20780" xr:uid="{00000000-0005-0000-0000-0000861D0000}"/>
    <cellStyle name="20% - Accent5 13 2 2 2 3" xfId="6633" xr:uid="{00000000-0005-0000-0000-0000871D0000}"/>
    <cellStyle name="20% - Accent5 13 2 2 2 3 2" xfId="14605" xr:uid="{00000000-0005-0000-0000-0000881D0000}"/>
    <cellStyle name="20% - Accent5 13 2 2 2 3 3" xfId="22552" xr:uid="{00000000-0005-0000-0000-0000891D0000}"/>
    <cellStyle name="20% - Accent5 13 2 2 2 4" xfId="11069" xr:uid="{00000000-0005-0000-0000-00008A1D0000}"/>
    <cellStyle name="20% - Accent5 13 2 2 2 5" xfId="19024" xr:uid="{00000000-0005-0000-0000-00008B1D0000}"/>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3" xfId="23431" xr:uid="{00000000-0005-0000-0000-0000901D0000}"/>
    <cellStyle name="20% - Accent5 13 2 2 3 3" xfId="11947" xr:uid="{00000000-0005-0000-0000-0000911D0000}"/>
    <cellStyle name="20% - Accent5 13 2 2 3 4" xfId="19902" xr:uid="{00000000-0005-0000-0000-0000921D0000}"/>
    <cellStyle name="20% - Accent5 13 2 2 4" xfId="5742" xr:uid="{00000000-0005-0000-0000-0000931D0000}"/>
    <cellStyle name="20% - Accent5 13 2 2 4 2" xfId="13726" xr:uid="{00000000-0005-0000-0000-0000941D0000}"/>
    <cellStyle name="20% - Accent5 13 2 2 4 3" xfId="21674" xr:uid="{00000000-0005-0000-0000-0000951D0000}"/>
    <cellStyle name="20% - Accent5 13 2 2 5" xfId="9295" xr:uid="{00000000-0005-0000-0000-0000961D0000}"/>
    <cellStyle name="20% - Accent5 13 2 2 5 2" xfId="17253" xr:uid="{00000000-0005-0000-0000-0000971D0000}"/>
    <cellStyle name="20% - Accent5 13 2 2 5 3" xfId="25197" xr:uid="{00000000-0005-0000-0000-0000981D0000}"/>
    <cellStyle name="20% - Accent5 13 2 2 6" xfId="10191" xr:uid="{00000000-0005-0000-0000-0000991D0000}"/>
    <cellStyle name="20% - Accent5 13 2 2 7" xfId="18146" xr:uid="{00000000-0005-0000-0000-00009A1D0000}"/>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3" xfId="24308" xr:uid="{00000000-0005-0000-0000-0000A01D0000}"/>
    <cellStyle name="20% - Accent5 13 2 3 2 3" xfId="12824" xr:uid="{00000000-0005-0000-0000-0000A11D0000}"/>
    <cellStyle name="20% - Accent5 13 2 3 2 4" xfId="20779" xr:uid="{00000000-0005-0000-0000-0000A21D0000}"/>
    <cellStyle name="20% - Accent5 13 2 3 3" xfId="6632" xr:uid="{00000000-0005-0000-0000-0000A31D0000}"/>
    <cellStyle name="20% - Accent5 13 2 3 3 2" xfId="14604" xr:uid="{00000000-0005-0000-0000-0000A41D0000}"/>
    <cellStyle name="20% - Accent5 13 2 3 3 3" xfId="22551" xr:uid="{00000000-0005-0000-0000-0000A51D0000}"/>
    <cellStyle name="20% - Accent5 13 2 3 4" xfId="11068" xr:uid="{00000000-0005-0000-0000-0000A61D0000}"/>
    <cellStyle name="20% - Accent5 13 2 3 5" xfId="19023" xr:uid="{00000000-0005-0000-0000-0000A71D0000}"/>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3" xfId="23430" xr:uid="{00000000-0005-0000-0000-0000AC1D0000}"/>
    <cellStyle name="20% - Accent5 13 2 4 3" xfId="11946" xr:uid="{00000000-0005-0000-0000-0000AD1D0000}"/>
    <cellStyle name="20% - Accent5 13 2 4 4" xfId="19901" xr:uid="{00000000-0005-0000-0000-0000AE1D0000}"/>
    <cellStyle name="20% - Accent5 13 2 5" xfId="5741" xr:uid="{00000000-0005-0000-0000-0000AF1D0000}"/>
    <cellStyle name="20% - Accent5 13 2 5 2" xfId="13725" xr:uid="{00000000-0005-0000-0000-0000B01D0000}"/>
    <cellStyle name="20% - Accent5 13 2 5 3" xfId="21673" xr:uid="{00000000-0005-0000-0000-0000B11D0000}"/>
    <cellStyle name="20% - Accent5 13 2 6" xfId="9294" xr:uid="{00000000-0005-0000-0000-0000B21D0000}"/>
    <cellStyle name="20% - Accent5 13 2 6 2" xfId="17252" xr:uid="{00000000-0005-0000-0000-0000B31D0000}"/>
    <cellStyle name="20% - Accent5 13 2 6 3" xfId="25196" xr:uid="{00000000-0005-0000-0000-0000B41D0000}"/>
    <cellStyle name="20% - Accent5 13 2 7" xfId="10190" xr:uid="{00000000-0005-0000-0000-0000B51D0000}"/>
    <cellStyle name="20% - Accent5 13 2 8" xfId="18145" xr:uid="{00000000-0005-0000-0000-0000B61D0000}"/>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3" xfId="24310" xr:uid="{00000000-0005-0000-0000-0000BD1D0000}"/>
    <cellStyle name="20% - Accent5 13 3 2 2 3" xfId="12826" xr:uid="{00000000-0005-0000-0000-0000BE1D0000}"/>
    <cellStyle name="20% - Accent5 13 3 2 2 4" xfId="20781" xr:uid="{00000000-0005-0000-0000-0000BF1D0000}"/>
    <cellStyle name="20% - Accent5 13 3 2 3" xfId="6634" xr:uid="{00000000-0005-0000-0000-0000C01D0000}"/>
    <cellStyle name="20% - Accent5 13 3 2 3 2" xfId="14606" xr:uid="{00000000-0005-0000-0000-0000C11D0000}"/>
    <cellStyle name="20% - Accent5 13 3 2 3 3" xfId="22553" xr:uid="{00000000-0005-0000-0000-0000C21D0000}"/>
    <cellStyle name="20% - Accent5 13 3 2 4" xfId="11070" xr:uid="{00000000-0005-0000-0000-0000C31D0000}"/>
    <cellStyle name="20% - Accent5 13 3 2 5" xfId="19025" xr:uid="{00000000-0005-0000-0000-0000C41D0000}"/>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3" xfId="23432" xr:uid="{00000000-0005-0000-0000-0000C91D0000}"/>
    <cellStyle name="20% - Accent5 13 3 3 3" xfId="11948" xr:uid="{00000000-0005-0000-0000-0000CA1D0000}"/>
    <cellStyle name="20% - Accent5 13 3 3 4" xfId="19903" xr:uid="{00000000-0005-0000-0000-0000CB1D0000}"/>
    <cellStyle name="20% - Accent5 13 3 4" xfId="5743" xr:uid="{00000000-0005-0000-0000-0000CC1D0000}"/>
    <cellStyle name="20% - Accent5 13 3 4 2" xfId="13727" xr:uid="{00000000-0005-0000-0000-0000CD1D0000}"/>
    <cellStyle name="20% - Accent5 13 3 4 3" xfId="21675" xr:uid="{00000000-0005-0000-0000-0000CE1D0000}"/>
    <cellStyle name="20% - Accent5 13 3 5" xfId="9296" xr:uid="{00000000-0005-0000-0000-0000CF1D0000}"/>
    <cellStyle name="20% - Accent5 13 3 5 2" xfId="17254" xr:uid="{00000000-0005-0000-0000-0000D01D0000}"/>
    <cellStyle name="20% - Accent5 13 3 5 3" xfId="25198" xr:uid="{00000000-0005-0000-0000-0000D11D0000}"/>
    <cellStyle name="20% - Accent5 13 3 6" xfId="10192" xr:uid="{00000000-0005-0000-0000-0000D21D0000}"/>
    <cellStyle name="20% - Accent5 13 3 7" xfId="18147" xr:uid="{00000000-0005-0000-0000-0000D31D0000}"/>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3" xfId="24307" xr:uid="{00000000-0005-0000-0000-0000D91D0000}"/>
    <cellStyle name="20% - Accent5 13 4 2 3" xfId="12823" xr:uid="{00000000-0005-0000-0000-0000DA1D0000}"/>
    <cellStyle name="20% - Accent5 13 4 2 4" xfId="20778" xr:uid="{00000000-0005-0000-0000-0000DB1D0000}"/>
    <cellStyle name="20% - Accent5 13 4 3" xfId="6631" xr:uid="{00000000-0005-0000-0000-0000DC1D0000}"/>
    <cellStyle name="20% - Accent5 13 4 3 2" xfId="14603" xr:uid="{00000000-0005-0000-0000-0000DD1D0000}"/>
    <cellStyle name="20% - Accent5 13 4 3 3" xfId="22550" xr:uid="{00000000-0005-0000-0000-0000DE1D0000}"/>
    <cellStyle name="20% - Accent5 13 4 4" xfId="11067" xr:uid="{00000000-0005-0000-0000-0000DF1D0000}"/>
    <cellStyle name="20% - Accent5 13 4 5" xfId="19022" xr:uid="{00000000-0005-0000-0000-0000E01D0000}"/>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3" xfId="23429" xr:uid="{00000000-0005-0000-0000-0000E51D0000}"/>
    <cellStyle name="20% - Accent5 13 5 3" xfId="11945" xr:uid="{00000000-0005-0000-0000-0000E61D0000}"/>
    <cellStyle name="20% - Accent5 13 5 4" xfId="19900" xr:uid="{00000000-0005-0000-0000-0000E71D0000}"/>
    <cellStyle name="20% - Accent5 13 6" xfId="5740" xr:uid="{00000000-0005-0000-0000-0000E81D0000}"/>
    <cellStyle name="20% - Accent5 13 6 2" xfId="13724" xr:uid="{00000000-0005-0000-0000-0000E91D0000}"/>
    <cellStyle name="20% - Accent5 13 6 3" xfId="21672" xr:uid="{00000000-0005-0000-0000-0000EA1D0000}"/>
    <cellStyle name="20% - Accent5 13 7" xfId="9293" xr:uid="{00000000-0005-0000-0000-0000EB1D0000}"/>
    <cellStyle name="20% - Accent5 13 7 2" xfId="17251" xr:uid="{00000000-0005-0000-0000-0000EC1D0000}"/>
    <cellStyle name="20% - Accent5 13 7 3" xfId="25195" xr:uid="{00000000-0005-0000-0000-0000ED1D0000}"/>
    <cellStyle name="20% - Accent5 13 8" xfId="10189" xr:uid="{00000000-0005-0000-0000-0000EE1D0000}"/>
    <cellStyle name="20% - Accent5 13 9" xfId="18144" xr:uid="{00000000-0005-0000-0000-0000EF1D0000}"/>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3" xfId="24312" xr:uid="{00000000-0005-0000-0000-0000F71D0000}"/>
    <cellStyle name="20% - Accent5 14 2 2 2 3" xfId="12828" xr:uid="{00000000-0005-0000-0000-0000F81D0000}"/>
    <cellStyle name="20% - Accent5 14 2 2 2 4" xfId="20783" xr:uid="{00000000-0005-0000-0000-0000F91D0000}"/>
    <cellStyle name="20% - Accent5 14 2 2 3" xfId="6636" xr:uid="{00000000-0005-0000-0000-0000FA1D0000}"/>
    <cellStyle name="20% - Accent5 14 2 2 3 2" xfId="14608" xr:uid="{00000000-0005-0000-0000-0000FB1D0000}"/>
    <cellStyle name="20% - Accent5 14 2 2 3 3" xfId="22555" xr:uid="{00000000-0005-0000-0000-0000FC1D0000}"/>
    <cellStyle name="20% - Accent5 14 2 2 4" xfId="11072" xr:uid="{00000000-0005-0000-0000-0000FD1D0000}"/>
    <cellStyle name="20% - Accent5 14 2 2 5" xfId="19027" xr:uid="{00000000-0005-0000-0000-0000FE1D0000}"/>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3" xfId="23434" xr:uid="{00000000-0005-0000-0000-0000031E0000}"/>
    <cellStyle name="20% - Accent5 14 2 3 3" xfId="11950" xr:uid="{00000000-0005-0000-0000-0000041E0000}"/>
    <cellStyle name="20% - Accent5 14 2 3 4" xfId="19905" xr:uid="{00000000-0005-0000-0000-0000051E0000}"/>
    <cellStyle name="20% - Accent5 14 2 4" xfId="5745" xr:uid="{00000000-0005-0000-0000-0000061E0000}"/>
    <cellStyle name="20% - Accent5 14 2 4 2" xfId="13729" xr:uid="{00000000-0005-0000-0000-0000071E0000}"/>
    <cellStyle name="20% - Accent5 14 2 4 3" xfId="21677" xr:uid="{00000000-0005-0000-0000-0000081E0000}"/>
    <cellStyle name="20% - Accent5 14 2 5" xfId="9298" xr:uid="{00000000-0005-0000-0000-0000091E0000}"/>
    <cellStyle name="20% - Accent5 14 2 5 2" xfId="17256" xr:uid="{00000000-0005-0000-0000-00000A1E0000}"/>
    <cellStyle name="20% - Accent5 14 2 5 3" xfId="25200" xr:uid="{00000000-0005-0000-0000-00000B1E0000}"/>
    <cellStyle name="20% - Accent5 14 2 6" xfId="10194" xr:uid="{00000000-0005-0000-0000-00000C1E0000}"/>
    <cellStyle name="20% - Accent5 14 2 7" xfId="18149" xr:uid="{00000000-0005-0000-0000-00000D1E0000}"/>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3" xfId="24311" xr:uid="{00000000-0005-0000-0000-0000131E0000}"/>
    <cellStyle name="20% - Accent5 14 3 2 3" xfId="12827" xr:uid="{00000000-0005-0000-0000-0000141E0000}"/>
    <cellStyle name="20% - Accent5 14 3 2 4" xfId="20782" xr:uid="{00000000-0005-0000-0000-0000151E0000}"/>
    <cellStyle name="20% - Accent5 14 3 3" xfId="6635" xr:uid="{00000000-0005-0000-0000-0000161E0000}"/>
    <cellStyle name="20% - Accent5 14 3 3 2" xfId="14607" xr:uid="{00000000-0005-0000-0000-0000171E0000}"/>
    <cellStyle name="20% - Accent5 14 3 3 3" xfId="22554" xr:uid="{00000000-0005-0000-0000-0000181E0000}"/>
    <cellStyle name="20% - Accent5 14 3 4" xfId="11071" xr:uid="{00000000-0005-0000-0000-0000191E0000}"/>
    <cellStyle name="20% - Accent5 14 3 5" xfId="19026" xr:uid="{00000000-0005-0000-0000-00001A1E0000}"/>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3" xfId="23433" xr:uid="{00000000-0005-0000-0000-00001F1E0000}"/>
    <cellStyle name="20% - Accent5 14 4 3" xfId="11949" xr:uid="{00000000-0005-0000-0000-0000201E0000}"/>
    <cellStyle name="20% - Accent5 14 4 4" xfId="19904" xr:uid="{00000000-0005-0000-0000-0000211E0000}"/>
    <cellStyle name="20% - Accent5 14 5" xfId="5744" xr:uid="{00000000-0005-0000-0000-0000221E0000}"/>
    <cellStyle name="20% - Accent5 14 5 2" xfId="13728" xr:uid="{00000000-0005-0000-0000-0000231E0000}"/>
    <cellStyle name="20% - Accent5 14 5 3" xfId="21676" xr:uid="{00000000-0005-0000-0000-0000241E0000}"/>
    <cellStyle name="20% - Accent5 14 6" xfId="9297" xr:uid="{00000000-0005-0000-0000-0000251E0000}"/>
    <cellStyle name="20% - Accent5 14 6 2" xfId="17255" xr:uid="{00000000-0005-0000-0000-0000261E0000}"/>
    <cellStyle name="20% - Accent5 14 6 3" xfId="25199" xr:uid="{00000000-0005-0000-0000-0000271E0000}"/>
    <cellStyle name="20% - Accent5 14 7" xfId="10193" xr:uid="{00000000-0005-0000-0000-0000281E0000}"/>
    <cellStyle name="20% - Accent5 14 8" xfId="18148" xr:uid="{00000000-0005-0000-0000-0000291E0000}"/>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3" xfId="24313" xr:uid="{00000000-0005-0000-0000-0000301E0000}"/>
    <cellStyle name="20% - Accent5 15 2 2 3" xfId="12829" xr:uid="{00000000-0005-0000-0000-0000311E0000}"/>
    <cellStyle name="20% - Accent5 15 2 2 4" xfId="20784" xr:uid="{00000000-0005-0000-0000-0000321E0000}"/>
    <cellStyle name="20% - Accent5 15 2 3" xfId="6637" xr:uid="{00000000-0005-0000-0000-0000331E0000}"/>
    <cellStyle name="20% - Accent5 15 2 3 2" xfId="14609" xr:uid="{00000000-0005-0000-0000-0000341E0000}"/>
    <cellStyle name="20% - Accent5 15 2 3 3" xfId="22556" xr:uid="{00000000-0005-0000-0000-0000351E0000}"/>
    <cellStyle name="20% - Accent5 15 2 4" xfId="11073" xr:uid="{00000000-0005-0000-0000-0000361E0000}"/>
    <cellStyle name="20% - Accent5 15 2 5" xfId="19028" xr:uid="{00000000-0005-0000-0000-0000371E0000}"/>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3" xfId="23435" xr:uid="{00000000-0005-0000-0000-00003C1E0000}"/>
    <cellStyle name="20% - Accent5 15 3 3" xfId="11951" xr:uid="{00000000-0005-0000-0000-00003D1E0000}"/>
    <cellStyle name="20% - Accent5 15 3 4" xfId="19906" xr:uid="{00000000-0005-0000-0000-00003E1E0000}"/>
    <cellStyle name="20% - Accent5 15 4" xfId="5746" xr:uid="{00000000-0005-0000-0000-00003F1E0000}"/>
    <cellStyle name="20% - Accent5 15 4 2" xfId="13730" xr:uid="{00000000-0005-0000-0000-0000401E0000}"/>
    <cellStyle name="20% - Accent5 15 4 3" xfId="21678" xr:uid="{00000000-0005-0000-0000-0000411E0000}"/>
    <cellStyle name="20% - Accent5 15 5" xfId="9299" xr:uid="{00000000-0005-0000-0000-0000421E0000}"/>
    <cellStyle name="20% - Accent5 15 5 2" xfId="17257" xr:uid="{00000000-0005-0000-0000-0000431E0000}"/>
    <cellStyle name="20% - Accent5 15 5 3" xfId="25201" xr:uid="{00000000-0005-0000-0000-0000441E0000}"/>
    <cellStyle name="20% - Accent5 15 6" xfId="10195" xr:uid="{00000000-0005-0000-0000-0000451E0000}"/>
    <cellStyle name="20% - Accent5 15 7" xfId="18150" xr:uid="{00000000-0005-0000-0000-0000461E0000}"/>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3" xfId="24815" xr:uid="{00000000-0005-0000-0000-00004D1E0000}"/>
    <cellStyle name="20% - Accent5 16 2 2 3" xfId="13331" xr:uid="{00000000-0005-0000-0000-00004E1E0000}"/>
    <cellStyle name="20% - Accent5 16 2 2 4" xfId="21286" xr:uid="{00000000-0005-0000-0000-00004F1E0000}"/>
    <cellStyle name="20% - Accent5 16 2 3" xfId="7139" xr:uid="{00000000-0005-0000-0000-0000501E0000}"/>
    <cellStyle name="20% - Accent5 16 2 3 2" xfId="15111" xr:uid="{00000000-0005-0000-0000-0000511E0000}"/>
    <cellStyle name="20% - Accent5 16 2 3 3" xfId="23058" xr:uid="{00000000-0005-0000-0000-0000521E0000}"/>
    <cellStyle name="20% - Accent5 16 2 4" xfId="11575" xr:uid="{00000000-0005-0000-0000-0000531E0000}"/>
    <cellStyle name="20% - Accent5 16 2 5" xfId="19530" xr:uid="{00000000-0005-0000-0000-0000541E0000}"/>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3" xfId="23937" xr:uid="{00000000-0005-0000-0000-0000591E0000}"/>
    <cellStyle name="20% - Accent5 16 3 3" xfId="12453" xr:uid="{00000000-0005-0000-0000-00005A1E0000}"/>
    <cellStyle name="20% - Accent5 16 3 4" xfId="20408" xr:uid="{00000000-0005-0000-0000-00005B1E0000}"/>
    <cellStyle name="20% - Accent5 16 4" xfId="6258" xr:uid="{00000000-0005-0000-0000-00005C1E0000}"/>
    <cellStyle name="20% - Accent5 16 4 2" xfId="14233" xr:uid="{00000000-0005-0000-0000-00005D1E0000}"/>
    <cellStyle name="20% - Accent5 16 4 3" xfId="22180" xr:uid="{00000000-0005-0000-0000-00005E1E0000}"/>
    <cellStyle name="20% - Accent5 16 5" xfId="9801" xr:uid="{00000000-0005-0000-0000-00005F1E0000}"/>
    <cellStyle name="20% - Accent5 16 5 2" xfId="17759" xr:uid="{00000000-0005-0000-0000-0000601E0000}"/>
    <cellStyle name="20% - Accent5 16 5 3" xfId="25703" xr:uid="{00000000-0005-0000-0000-0000611E0000}"/>
    <cellStyle name="20% - Accent5 16 6" xfId="10697" xr:uid="{00000000-0005-0000-0000-0000621E0000}"/>
    <cellStyle name="20% - Accent5 16 7" xfId="18652" xr:uid="{00000000-0005-0000-0000-0000631E0000}"/>
    <cellStyle name="20% - Accent5 16_Exh G" xfId="2475" xr:uid="{00000000-0005-0000-0000-0000641E0000}"/>
    <cellStyle name="20% - Accent5 2" xfId="248" xr:uid="{00000000-0005-0000-0000-0000651E0000}"/>
    <cellStyle name="20% - Accent5 2 10" xfId="18151" xr:uid="{00000000-0005-0000-0000-0000661E0000}"/>
    <cellStyle name="20% - Accent5 2 2" xfId="249" xr:uid="{00000000-0005-0000-0000-0000671E0000}"/>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3" xfId="24316" xr:uid="{00000000-0005-0000-0000-00006D1E0000}"/>
    <cellStyle name="20% - Accent5 2 2 2 2 2 3" xfId="12832" xr:uid="{00000000-0005-0000-0000-00006E1E0000}"/>
    <cellStyle name="20% - Accent5 2 2 2 2 2 4" xfId="20787" xr:uid="{00000000-0005-0000-0000-00006F1E0000}"/>
    <cellStyle name="20% - Accent5 2 2 2 2 3" xfId="6640" xr:uid="{00000000-0005-0000-0000-0000701E0000}"/>
    <cellStyle name="20% - Accent5 2 2 2 2 3 2" xfId="14612" xr:uid="{00000000-0005-0000-0000-0000711E0000}"/>
    <cellStyle name="20% - Accent5 2 2 2 2 3 3" xfId="22559" xr:uid="{00000000-0005-0000-0000-0000721E0000}"/>
    <cellStyle name="20% - Accent5 2 2 2 2 4" xfId="11076" xr:uid="{00000000-0005-0000-0000-0000731E0000}"/>
    <cellStyle name="20% - Accent5 2 2 2 2 5" xfId="19031" xr:uid="{00000000-0005-0000-0000-0000741E0000}"/>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3" xfId="23438" xr:uid="{00000000-0005-0000-0000-0000791E0000}"/>
    <cellStyle name="20% - Accent5 2 2 2 3 3" xfId="11954" xr:uid="{00000000-0005-0000-0000-00007A1E0000}"/>
    <cellStyle name="20% - Accent5 2 2 2 3 4" xfId="19909" xr:uid="{00000000-0005-0000-0000-00007B1E0000}"/>
    <cellStyle name="20% - Accent5 2 2 2 4" xfId="5749" xr:uid="{00000000-0005-0000-0000-00007C1E0000}"/>
    <cellStyle name="20% - Accent5 2 2 2 4 2" xfId="13733" xr:uid="{00000000-0005-0000-0000-00007D1E0000}"/>
    <cellStyle name="20% - Accent5 2 2 2 4 3" xfId="21681" xr:uid="{00000000-0005-0000-0000-00007E1E0000}"/>
    <cellStyle name="20% - Accent5 2 2 2 5" xfId="9302" xr:uid="{00000000-0005-0000-0000-00007F1E0000}"/>
    <cellStyle name="20% - Accent5 2 2 2 5 2" xfId="17260" xr:uid="{00000000-0005-0000-0000-0000801E0000}"/>
    <cellStyle name="20% - Accent5 2 2 2 5 3" xfId="25204" xr:uid="{00000000-0005-0000-0000-0000811E0000}"/>
    <cellStyle name="20% - Accent5 2 2 2 6" xfId="10198" xr:uid="{00000000-0005-0000-0000-0000821E0000}"/>
    <cellStyle name="20% - Accent5 2 2 2 7" xfId="18153" xr:uid="{00000000-0005-0000-0000-0000831E0000}"/>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3" xfId="24866" xr:uid="{00000000-0005-0000-0000-00008A1E0000}"/>
    <cellStyle name="20% - Accent5 2 2 3 2 2 3" xfId="13382" xr:uid="{00000000-0005-0000-0000-00008B1E0000}"/>
    <cellStyle name="20% - Accent5 2 2 3 2 2 4" xfId="21337" xr:uid="{00000000-0005-0000-0000-00008C1E0000}"/>
    <cellStyle name="20% - Accent5 2 2 3 2 3" xfId="7190" xr:uid="{00000000-0005-0000-0000-00008D1E0000}"/>
    <cellStyle name="20% - Accent5 2 2 3 2 3 2" xfId="15162" xr:uid="{00000000-0005-0000-0000-00008E1E0000}"/>
    <cellStyle name="20% - Accent5 2 2 3 2 3 3" xfId="23109" xr:uid="{00000000-0005-0000-0000-00008F1E0000}"/>
    <cellStyle name="20% - Accent5 2 2 3 2 4" xfId="11626" xr:uid="{00000000-0005-0000-0000-0000901E0000}"/>
    <cellStyle name="20% - Accent5 2 2 3 2 5" xfId="19581" xr:uid="{00000000-0005-0000-0000-0000911E0000}"/>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3" xfId="23988" xr:uid="{00000000-0005-0000-0000-0000961E0000}"/>
    <cellStyle name="20% - Accent5 2 2 3 3 3" xfId="12504" xr:uid="{00000000-0005-0000-0000-0000971E0000}"/>
    <cellStyle name="20% - Accent5 2 2 3 3 4" xfId="20459" xr:uid="{00000000-0005-0000-0000-0000981E0000}"/>
    <cellStyle name="20% - Accent5 2 2 3 4" xfId="6309" xr:uid="{00000000-0005-0000-0000-0000991E0000}"/>
    <cellStyle name="20% - Accent5 2 2 3 4 2" xfId="14284" xr:uid="{00000000-0005-0000-0000-00009A1E0000}"/>
    <cellStyle name="20% - Accent5 2 2 3 4 3" xfId="22231" xr:uid="{00000000-0005-0000-0000-00009B1E0000}"/>
    <cellStyle name="20% - Accent5 2 2 3 5" xfId="9852" xr:uid="{00000000-0005-0000-0000-00009C1E0000}"/>
    <cellStyle name="20% - Accent5 2 2 3 5 2" xfId="17810" xr:uid="{00000000-0005-0000-0000-00009D1E0000}"/>
    <cellStyle name="20% - Accent5 2 2 3 5 3" xfId="25754" xr:uid="{00000000-0005-0000-0000-00009E1E0000}"/>
    <cellStyle name="20% - Accent5 2 2 3 6" xfId="10748" xr:uid="{00000000-0005-0000-0000-00009F1E0000}"/>
    <cellStyle name="20% - Accent5 2 2 3 7" xfId="18703" xr:uid="{00000000-0005-0000-0000-0000A01E0000}"/>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3" xfId="24315" xr:uid="{00000000-0005-0000-0000-0000A61E0000}"/>
    <cellStyle name="20% - Accent5 2 2 4 2 3" xfId="12831" xr:uid="{00000000-0005-0000-0000-0000A71E0000}"/>
    <cellStyle name="20% - Accent5 2 2 4 2 4" xfId="20786" xr:uid="{00000000-0005-0000-0000-0000A81E0000}"/>
    <cellStyle name="20% - Accent5 2 2 4 3" xfId="6639" xr:uid="{00000000-0005-0000-0000-0000A91E0000}"/>
    <cellStyle name="20% - Accent5 2 2 4 3 2" xfId="14611" xr:uid="{00000000-0005-0000-0000-0000AA1E0000}"/>
    <cellStyle name="20% - Accent5 2 2 4 3 3" xfId="22558" xr:uid="{00000000-0005-0000-0000-0000AB1E0000}"/>
    <cellStyle name="20% - Accent5 2 2 4 4" xfId="11075" xr:uid="{00000000-0005-0000-0000-0000AC1E0000}"/>
    <cellStyle name="20% - Accent5 2 2 4 5" xfId="19030" xr:uid="{00000000-0005-0000-0000-0000AD1E0000}"/>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3" xfId="23437" xr:uid="{00000000-0005-0000-0000-0000B21E0000}"/>
    <cellStyle name="20% - Accent5 2 2 5 3" xfId="11953" xr:uid="{00000000-0005-0000-0000-0000B31E0000}"/>
    <cellStyle name="20% - Accent5 2 2 5 4" xfId="19908" xr:uid="{00000000-0005-0000-0000-0000B41E0000}"/>
    <cellStyle name="20% - Accent5 2 2 6" xfId="5748" xr:uid="{00000000-0005-0000-0000-0000B51E0000}"/>
    <cellStyle name="20% - Accent5 2 2 6 2" xfId="13732" xr:uid="{00000000-0005-0000-0000-0000B61E0000}"/>
    <cellStyle name="20% - Accent5 2 2 6 3" xfId="21680" xr:uid="{00000000-0005-0000-0000-0000B71E0000}"/>
    <cellStyle name="20% - Accent5 2 2 7" xfId="9301" xr:uid="{00000000-0005-0000-0000-0000B81E0000}"/>
    <cellStyle name="20% - Accent5 2 2 7 2" xfId="17259" xr:uid="{00000000-0005-0000-0000-0000B91E0000}"/>
    <cellStyle name="20% - Accent5 2 2 7 3" xfId="25203" xr:uid="{00000000-0005-0000-0000-0000BA1E0000}"/>
    <cellStyle name="20% - Accent5 2 2 8" xfId="10197" xr:uid="{00000000-0005-0000-0000-0000BB1E0000}"/>
    <cellStyle name="20% - Accent5 2 2 9" xfId="18152" xr:uid="{00000000-0005-0000-0000-0000BC1E0000}"/>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3" xfId="24317" xr:uid="{00000000-0005-0000-0000-0000C31E0000}"/>
    <cellStyle name="20% - Accent5 2 3 2 2 3" xfId="12833" xr:uid="{00000000-0005-0000-0000-0000C41E0000}"/>
    <cellStyle name="20% - Accent5 2 3 2 2 4" xfId="20788" xr:uid="{00000000-0005-0000-0000-0000C51E0000}"/>
    <cellStyle name="20% - Accent5 2 3 2 3" xfId="6641" xr:uid="{00000000-0005-0000-0000-0000C61E0000}"/>
    <cellStyle name="20% - Accent5 2 3 2 3 2" xfId="14613" xr:uid="{00000000-0005-0000-0000-0000C71E0000}"/>
    <cellStyle name="20% - Accent5 2 3 2 3 3" xfId="22560" xr:uid="{00000000-0005-0000-0000-0000C81E0000}"/>
    <cellStyle name="20% - Accent5 2 3 2 4" xfId="11077" xr:uid="{00000000-0005-0000-0000-0000C91E0000}"/>
    <cellStyle name="20% - Accent5 2 3 2 5" xfId="19032" xr:uid="{00000000-0005-0000-0000-0000CA1E0000}"/>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3" xfId="23439" xr:uid="{00000000-0005-0000-0000-0000CF1E0000}"/>
    <cellStyle name="20% - Accent5 2 3 3 3" xfId="11955" xr:uid="{00000000-0005-0000-0000-0000D01E0000}"/>
    <cellStyle name="20% - Accent5 2 3 3 4" xfId="19910" xr:uid="{00000000-0005-0000-0000-0000D11E0000}"/>
    <cellStyle name="20% - Accent5 2 3 4" xfId="5750" xr:uid="{00000000-0005-0000-0000-0000D21E0000}"/>
    <cellStyle name="20% - Accent5 2 3 4 2" xfId="13734" xr:uid="{00000000-0005-0000-0000-0000D31E0000}"/>
    <cellStyle name="20% - Accent5 2 3 4 3" xfId="21682" xr:uid="{00000000-0005-0000-0000-0000D41E0000}"/>
    <cellStyle name="20% - Accent5 2 3 5" xfId="9303" xr:uid="{00000000-0005-0000-0000-0000D51E0000}"/>
    <cellStyle name="20% - Accent5 2 3 5 2" xfId="17261" xr:uid="{00000000-0005-0000-0000-0000D61E0000}"/>
    <cellStyle name="20% - Accent5 2 3 5 3" xfId="25205" xr:uid="{00000000-0005-0000-0000-0000D71E0000}"/>
    <cellStyle name="20% - Accent5 2 3 6" xfId="10199" xr:uid="{00000000-0005-0000-0000-0000D81E0000}"/>
    <cellStyle name="20% - Accent5 2 3 7" xfId="18154" xr:uid="{00000000-0005-0000-0000-0000D91E0000}"/>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3" xfId="24865" xr:uid="{00000000-0005-0000-0000-0000E01E0000}"/>
    <cellStyle name="20% - Accent5 2 4 2 2 3" xfId="13381" xr:uid="{00000000-0005-0000-0000-0000E11E0000}"/>
    <cellStyle name="20% - Accent5 2 4 2 2 4" xfId="21336" xr:uid="{00000000-0005-0000-0000-0000E21E0000}"/>
    <cellStyle name="20% - Accent5 2 4 2 3" xfId="7189" xr:uid="{00000000-0005-0000-0000-0000E31E0000}"/>
    <cellStyle name="20% - Accent5 2 4 2 3 2" xfId="15161" xr:uid="{00000000-0005-0000-0000-0000E41E0000}"/>
    <cellStyle name="20% - Accent5 2 4 2 3 3" xfId="23108" xr:uid="{00000000-0005-0000-0000-0000E51E0000}"/>
    <cellStyle name="20% - Accent5 2 4 2 4" xfId="11625" xr:uid="{00000000-0005-0000-0000-0000E61E0000}"/>
    <cellStyle name="20% - Accent5 2 4 2 5" xfId="19580" xr:uid="{00000000-0005-0000-0000-0000E71E0000}"/>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3" xfId="23987" xr:uid="{00000000-0005-0000-0000-0000EC1E0000}"/>
    <cellStyle name="20% - Accent5 2 4 3 3" xfId="12503" xr:uid="{00000000-0005-0000-0000-0000ED1E0000}"/>
    <cellStyle name="20% - Accent5 2 4 3 4" xfId="20458" xr:uid="{00000000-0005-0000-0000-0000EE1E0000}"/>
    <cellStyle name="20% - Accent5 2 4 4" xfId="6308" xr:uid="{00000000-0005-0000-0000-0000EF1E0000}"/>
    <cellStyle name="20% - Accent5 2 4 4 2" xfId="14283" xr:uid="{00000000-0005-0000-0000-0000F01E0000}"/>
    <cellStyle name="20% - Accent5 2 4 4 3" xfId="22230" xr:uid="{00000000-0005-0000-0000-0000F11E0000}"/>
    <cellStyle name="20% - Accent5 2 4 5" xfId="9851" xr:uid="{00000000-0005-0000-0000-0000F21E0000}"/>
    <cellStyle name="20% - Accent5 2 4 5 2" xfId="17809" xr:uid="{00000000-0005-0000-0000-0000F31E0000}"/>
    <cellStyle name="20% - Accent5 2 4 5 3" xfId="25753" xr:uid="{00000000-0005-0000-0000-0000F41E0000}"/>
    <cellStyle name="20% - Accent5 2 4 6" xfId="10747" xr:uid="{00000000-0005-0000-0000-0000F51E0000}"/>
    <cellStyle name="20% - Accent5 2 4 7" xfId="18702" xr:uid="{00000000-0005-0000-0000-0000F61E0000}"/>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3" xfId="24314" xr:uid="{00000000-0005-0000-0000-0000FC1E0000}"/>
    <cellStyle name="20% - Accent5 2 5 2 3" xfId="12830" xr:uid="{00000000-0005-0000-0000-0000FD1E0000}"/>
    <cellStyle name="20% - Accent5 2 5 2 4" xfId="20785" xr:uid="{00000000-0005-0000-0000-0000FE1E0000}"/>
    <cellStyle name="20% - Accent5 2 5 3" xfId="6638" xr:uid="{00000000-0005-0000-0000-0000FF1E0000}"/>
    <cellStyle name="20% - Accent5 2 5 3 2" xfId="14610" xr:uid="{00000000-0005-0000-0000-0000001F0000}"/>
    <cellStyle name="20% - Accent5 2 5 3 3" xfId="22557" xr:uid="{00000000-0005-0000-0000-0000011F0000}"/>
    <cellStyle name="20% - Accent5 2 5 4" xfId="11074" xr:uid="{00000000-0005-0000-0000-0000021F0000}"/>
    <cellStyle name="20% - Accent5 2 5 5" xfId="19029" xr:uid="{00000000-0005-0000-0000-0000031F0000}"/>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3" xfId="23436" xr:uid="{00000000-0005-0000-0000-0000081F0000}"/>
    <cellStyle name="20% - Accent5 2 6 3" xfId="11952" xr:uid="{00000000-0005-0000-0000-0000091F0000}"/>
    <cellStyle name="20% - Accent5 2 6 4" xfId="19907" xr:uid="{00000000-0005-0000-0000-00000A1F0000}"/>
    <cellStyle name="20% - Accent5 2 7" xfId="5747" xr:uid="{00000000-0005-0000-0000-00000B1F0000}"/>
    <cellStyle name="20% - Accent5 2 7 2" xfId="13731" xr:uid="{00000000-0005-0000-0000-00000C1F0000}"/>
    <cellStyle name="20% - Accent5 2 7 3" xfId="21679" xr:uid="{00000000-0005-0000-0000-00000D1F0000}"/>
    <cellStyle name="20% - Accent5 2 8" xfId="9300" xr:uid="{00000000-0005-0000-0000-00000E1F0000}"/>
    <cellStyle name="20% - Accent5 2 8 2" xfId="17258" xr:uid="{00000000-0005-0000-0000-00000F1F0000}"/>
    <cellStyle name="20% - Accent5 2 8 3" xfId="25202" xr:uid="{00000000-0005-0000-0000-0000101F0000}"/>
    <cellStyle name="20% - Accent5 2 9" xfId="10196" xr:uid="{00000000-0005-0000-0000-0000111F0000}"/>
    <cellStyle name="20% - Accent5 2_Exh G" xfId="2477" xr:uid="{00000000-0005-0000-0000-0000121F0000}"/>
    <cellStyle name="20% - Accent5 3" xfId="252" xr:uid="{00000000-0005-0000-0000-0000131F0000}"/>
    <cellStyle name="20% - Accent5 3 10" xfId="18155" xr:uid="{00000000-0005-0000-0000-0000141F0000}"/>
    <cellStyle name="20% - Accent5 3 2" xfId="253" xr:uid="{00000000-0005-0000-0000-0000151F0000}"/>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3" xfId="24320" xr:uid="{00000000-0005-0000-0000-00001B1F0000}"/>
    <cellStyle name="20% - Accent5 3 2 2 2 2 3" xfId="12836" xr:uid="{00000000-0005-0000-0000-00001C1F0000}"/>
    <cellStyle name="20% - Accent5 3 2 2 2 2 4" xfId="20791" xr:uid="{00000000-0005-0000-0000-00001D1F0000}"/>
    <cellStyle name="20% - Accent5 3 2 2 2 3" xfId="6644" xr:uid="{00000000-0005-0000-0000-00001E1F0000}"/>
    <cellStyle name="20% - Accent5 3 2 2 2 3 2" xfId="14616" xr:uid="{00000000-0005-0000-0000-00001F1F0000}"/>
    <cellStyle name="20% - Accent5 3 2 2 2 3 3" xfId="22563" xr:uid="{00000000-0005-0000-0000-0000201F0000}"/>
    <cellStyle name="20% - Accent5 3 2 2 2 4" xfId="11080" xr:uid="{00000000-0005-0000-0000-0000211F0000}"/>
    <cellStyle name="20% - Accent5 3 2 2 2 5" xfId="19035" xr:uid="{00000000-0005-0000-0000-0000221F0000}"/>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3" xfId="23442" xr:uid="{00000000-0005-0000-0000-0000271F0000}"/>
    <cellStyle name="20% - Accent5 3 2 2 3 3" xfId="11958" xr:uid="{00000000-0005-0000-0000-0000281F0000}"/>
    <cellStyle name="20% - Accent5 3 2 2 3 4" xfId="19913" xr:uid="{00000000-0005-0000-0000-0000291F0000}"/>
    <cellStyle name="20% - Accent5 3 2 2 4" xfId="5753" xr:uid="{00000000-0005-0000-0000-00002A1F0000}"/>
    <cellStyle name="20% - Accent5 3 2 2 4 2" xfId="13737" xr:uid="{00000000-0005-0000-0000-00002B1F0000}"/>
    <cellStyle name="20% - Accent5 3 2 2 4 3" xfId="21685" xr:uid="{00000000-0005-0000-0000-00002C1F0000}"/>
    <cellStyle name="20% - Accent5 3 2 2 5" xfId="9306" xr:uid="{00000000-0005-0000-0000-00002D1F0000}"/>
    <cellStyle name="20% - Accent5 3 2 2 5 2" xfId="17264" xr:uid="{00000000-0005-0000-0000-00002E1F0000}"/>
    <cellStyle name="20% - Accent5 3 2 2 5 3" xfId="25208" xr:uid="{00000000-0005-0000-0000-00002F1F0000}"/>
    <cellStyle name="20% - Accent5 3 2 2 6" xfId="10202" xr:uid="{00000000-0005-0000-0000-0000301F0000}"/>
    <cellStyle name="20% - Accent5 3 2 2 7" xfId="18157" xr:uid="{00000000-0005-0000-0000-0000311F0000}"/>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3" xfId="24868" xr:uid="{00000000-0005-0000-0000-0000381F0000}"/>
    <cellStyle name="20% - Accent5 3 2 3 2 2 3" xfId="13384" xr:uid="{00000000-0005-0000-0000-0000391F0000}"/>
    <cellStyle name="20% - Accent5 3 2 3 2 2 4" xfId="21339" xr:uid="{00000000-0005-0000-0000-00003A1F0000}"/>
    <cellStyle name="20% - Accent5 3 2 3 2 3" xfId="7192" xr:uid="{00000000-0005-0000-0000-00003B1F0000}"/>
    <cellStyle name="20% - Accent5 3 2 3 2 3 2" xfId="15164" xr:uid="{00000000-0005-0000-0000-00003C1F0000}"/>
    <cellStyle name="20% - Accent5 3 2 3 2 3 3" xfId="23111" xr:uid="{00000000-0005-0000-0000-00003D1F0000}"/>
    <cellStyle name="20% - Accent5 3 2 3 2 4" xfId="11628" xr:uid="{00000000-0005-0000-0000-00003E1F0000}"/>
    <cellStyle name="20% - Accent5 3 2 3 2 5" xfId="19583" xr:uid="{00000000-0005-0000-0000-00003F1F0000}"/>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3" xfId="23990" xr:uid="{00000000-0005-0000-0000-0000441F0000}"/>
    <cellStyle name="20% - Accent5 3 2 3 3 3" xfId="12506" xr:uid="{00000000-0005-0000-0000-0000451F0000}"/>
    <cellStyle name="20% - Accent5 3 2 3 3 4" xfId="20461" xr:uid="{00000000-0005-0000-0000-0000461F0000}"/>
    <cellStyle name="20% - Accent5 3 2 3 4" xfId="6311" xr:uid="{00000000-0005-0000-0000-0000471F0000}"/>
    <cellStyle name="20% - Accent5 3 2 3 4 2" xfId="14286" xr:uid="{00000000-0005-0000-0000-0000481F0000}"/>
    <cellStyle name="20% - Accent5 3 2 3 4 3" xfId="22233" xr:uid="{00000000-0005-0000-0000-0000491F0000}"/>
    <cellStyle name="20% - Accent5 3 2 3 5" xfId="9854" xr:uid="{00000000-0005-0000-0000-00004A1F0000}"/>
    <cellStyle name="20% - Accent5 3 2 3 5 2" xfId="17812" xr:uid="{00000000-0005-0000-0000-00004B1F0000}"/>
    <cellStyle name="20% - Accent5 3 2 3 5 3" xfId="25756" xr:uid="{00000000-0005-0000-0000-00004C1F0000}"/>
    <cellStyle name="20% - Accent5 3 2 3 6" xfId="10750" xr:uid="{00000000-0005-0000-0000-00004D1F0000}"/>
    <cellStyle name="20% - Accent5 3 2 3 7" xfId="18705" xr:uid="{00000000-0005-0000-0000-00004E1F0000}"/>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3" xfId="24319" xr:uid="{00000000-0005-0000-0000-0000541F0000}"/>
    <cellStyle name="20% - Accent5 3 2 4 2 3" xfId="12835" xr:uid="{00000000-0005-0000-0000-0000551F0000}"/>
    <cellStyle name="20% - Accent5 3 2 4 2 4" xfId="20790" xr:uid="{00000000-0005-0000-0000-0000561F0000}"/>
    <cellStyle name="20% - Accent5 3 2 4 3" xfId="6643" xr:uid="{00000000-0005-0000-0000-0000571F0000}"/>
    <cellStyle name="20% - Accent5 3 2 4 3 2" xfId="14615" xr:uid="{00000000-0005-0000-0000-0000581F0000}"/>
    <cellStyle name="20% - Accent5 3 2 4 3 3" xfId="22562" xr:uid="{00000000-0005-0000-0000-0000591F0000}"/>
    <cellStyle name="20% - Accent5 3 2 4 4" xfId="11079" xr:uid="{00000000-0005-0000-0000-00005A1F0000}"/>
    <cellStyle name="20% - Accent5 3 2 4 5" xfId="19034" xr:uid="{00000000-0005-0000-0000-00005B1F0000}"/>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3" xfId="23441" xr:uid="{00000000-0005-0000-0000-0000601F0000}"/>
    <cellStyle name="20% - Accent5 3 2 5 3" xfId="11957" xr:uid="{00000000-0005-0000-0000-0000611F0000}"/>
    <cellStyle name="20% - Accent5 3 2 5 4" xfId="19912" xr:uid="{00000000-0005-0000-0000-0000621F0000}"/>
    <cellStyle name="20% - Accent5 3 2 6" xfId="5752" xr:uid="{00000000-0005-0000-0000-0000631F0000}"/>
    <cellStyle name="20% - Accent5 3 2 6 2" xfId="13736" xr:uid="{00000000-0005-0000-0000-0000641F0000}"/>
    <cellStyle name="20% - Accent5 3 2 6 3" xfId="21684" xr:uid="{00000000-0005-0000-0000-0000651F0000}"/>
    <cellStyle name="20% - Accent5 3 2 7" xfId="9305" xr:uid="{00000000-0005-0000-0000-0000661F0000}"/>
    <cellStyle name="20% - Accent5 3 2 7 2" xfId="17263" xr:uid="{00000000-0005-0000-0000-0000671F0000}"/>
    <cellStyle name="20% - Accent5 3 2 7 3" xfId="25207" xr:uid="{00000000-0005-0000-0000-0000681F0000}"/>
    <cellStyle name="20% - Accent5 3 2 8" xfId="10201" xr:uid="{00000000-0005-0000-0000-0000691F0000}"/>
    <cellStyle name="20% - Accent5 3 2 9" xfId="18156" xr:uid="{00000000-0005-0000-0000-00006A1F0000}"/>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3" xfId="24321" xr:uid="{00000000-0005-0000-0000-0000711F0000}"/>
    <cellStyle name="20% - Accent5 3 3 2 2 3" xfId="12837" xr:uid="{00000000-0005-0000-0000-0000721F0000}"/>
    <cellStyle name="20% - Accent5 3 3 2 2 4" xfId="20792" xr:uid="{00000000-0005-0000-0000-0000731F0000}"/>
    <cellStyle name="20% - Accent5 3 3 2 3" xfId="6645" xr:uid="{00000000-0005-0000-0000-0000741F0000}"/>
    <cellStyle name="20% - Accent5 3 3 2 3 2" xfId="14617" xr:uid="{00000000-0005-0000-0000-0000751F0000}"/>
    <cellStyle name="20% - Accent5 3 3 2 3 3" xfId="22564" xr:uid="{00000000-0005-0000-0000-0000761F0000}"/>
    <cellStyle name="20% - Accent5 3 3 2 4" xfId="11081" xr:uid="{00000000-0005-0000-0000-0000771F0000}"/>
    <cellStyle name="20% - Accent5 3 3 2 5" xfId="19036" xr:uid="{00000000-0005-0000-0000-0000781F0000}"/>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3" xfId="23443" xr:uid="{00000000-0005-0000-0000-00007D1F0000}"/>
    <cellStyle name="20% - Accent5 3 3 3 3" xfId="11959" xr:uid="{00000000-0005-0000-0000-00007E1F0000}"/>
    <cellStyle name="20% - Accent5 3 3 3 4" xfId="19914" xr:uid="{00000000-0005-0000-0000-00007F1F0000}"/>
    <cellStyle name="20% - Accent5 3 3 4" xfId="5754" xr:uid="{00000000-0005-0000-0000-0000801F0000}"/>
    <cellStyle name="20% - Accent5 3 3 4 2" xfId="13738" xr:uid="{00000000-0005-0000-0000-0000811F0000}"/>
    <cellStyle name="20% - Accent5 3 3 4 3" xfId="21686" xr:uid="{00000000-0005-0000-0000-0000821F0000}"/>
    <cellStyle name="20% - Accent5 3 3 5" xfId="9307" xr:uid="{00000000-0005-0000-0000-0000831F0000}"/>
    <cellStyle name="20% - Accent5 3 3 5 2" xfId="17265" xr:uid="{00000000-0005-0000-0000-0000841F0000}"/>
    <cellStyle name="20% - Accent5 3 3 5 3" xfId="25209" xr:uid="{00000000-0005-0000-0000-0000851F0000}"/>
    <cellStyle name="20% - Accent5 3 3 6" xfId="10203" xr:uid="{00000000-0005-0000-0000-0000861F0000}"/>
    <cellStyle name="20% - Accent5 3 3 7" xfId="18158" xr:uid="{00000000-0005-0000-0000-0000871F0000}"/>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3" xfId="24867" xr:uid="{00000000-0005-0000-0000-00008E1F0000}"/>
    <cellStyle name="20% - Accent5 3 4 2 2 3" xfId="13383" xr:uid="{00000000-0005-0000-0000-00008F1F0000}"/>
    <cellStyle name="20% - Accent5 3 4 2 2 4" xfId="21338" xr:uid="{00000000-0005-0000-0000-0000901F0000}"/>
    <cellStyle name="20% - Accent5 3 4 2 3" xfId="7191" xr:uid="{00000000-0005-0000-0000-0000911F0000}"/>
    <cellStyle name="20% - Accent5 3 4 2 3 2" xfId="15163" xr:uid="{00000000-0005-0000-0000-0000921F0000}"/>
    <cellStyle name="20% - Accent5 3 4 2 3 3" xfId="23110" xr:uid="{00000000-0005-0000-0000-0000931F0000}"/>
    <cellStyle name="20% - Accent5 3 4 2 4" xfId="11627" xr:uid="{00000000-0005-0000-0000-0000941F0000}"/>
    <cellStyle name="20% - Accent5 3 4 2 5" xfId="19582" xr:uid="{00000000-0005-0000-0000-0000951F0000}"/>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3" xfId="23989" xr:uid="{00000000-0005-0000-0000-00009A1F0000}"/>
    <cellStyle name="20% - Accent5 3 4 3 3" xfId="12505" xr:uid="{00000000-0005-0000-0000-00009B1F0000}"/>
    <cellStyle name="20% - Accent5 3 4 3 4" xfId="20460" xr:uid="{00000000-0005-0000-0000-00009C1F0000}"/>
    <cellStyle name="20% - Accent5 3 4 4" xfId="6310" xr:uid="{00000000-0005-0000-0000-00009D1F0000}"/>
    <cellStyle name="20% - Accent5 3 4 4 2" xfId="14285" xr:uid="{00000000-0005-0000-0000-00009E1F0000}"/>
    <cellStyle name="20% - Accent5 3 4 4 3" xfId="22232" xr:uid="{00000000-0005-0000-0000-00009F1F0000}"/>
    <cellStyle name="20% - Accent5 3 4 5" xfId="9853" xr:uid="{00000000-0005-0000-0000-0000A01F0000}"/>
    <cellStyle name="20% - Accent5 3 4 5 2" xfId="17811" xr:uid="{00000000-0005-0000-0000-0000A11F0000}"/>
    <cellStyle name="20% - Accent5 3 4 5 3" xfId="25755" xr:uid="{00000000-0005-0000-0000-0000A21F0000}"/>
    <cellStyle name="20% - Accent5 3 4 6" xfId="10749" xr:uid="{00000000-0005-0000-0000-0000A31F0000}"/>
    <cellStyle name="20% - Accent5 3 4 7" xfId="18704" xr:uid="{00000000-0005-0000-0000-0000A41F0000}"/>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3" xfId="24318" xr:uid="{00000000-0005-0000-0000-0000AA1F0000}"/>
    <cellStyle name="20% - Accent5 3 5 2 3" xfId="12834" xr:uid="{00000000-0005-0000-0000-0000AB1F0000}"/>
    <cellStyle name="20% - Accent5 3 5 2 4" xfId="20789" xr:uid="{00000000-0005-0000-0000-0000AC1F0000}"/>
    <cellStyle name="20% - Accent5 3 5 3" xfId="6642" xr:uid="{00000000-0005-0000-0000-0000AD1F0000}"/>
    <cellStyle name="20% - Accent5 3 5 3 2" xfId="14614" xr:uid="{00000000-0005-0000-0000-0000AE1F0000}"/>
    <cellStyle name="20% - Accent5 3 5 3 3" xfId="22561" xr:uid="{00000000-0005-0000-0000-0000AF1F0000}"/>
    <cellStyle name="20% - Accent5 3 5 4" xfId="11078" xr:uid="{00000000-0005-0000-0000-0000B01F0000}"/>
    <cellStyle name="20% - Accent5 3 5 5" xfId="19033" xr:uid="{00000000-0005-0000-0000-0000B11F0000}"/>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3" xfId="23440" xr:uid="{00000000-0005-0000-0000-0000B61F0000}"/>
    <cellStyle name="20% - Accent5 3 6 3" xfId="11956" xr:uid="{00000000-0005-0000-0000-0000B71F0000}"/>
    <cellStyle name="20% - Accent5 3 6 4" xfId="19911" xr:uid="{00000000-0005-0000-0000-0000B81F0000}"/>
    <cellStyle name="20% - Accent5 3 7" xfId="5751" xr:uid="{00000000-0005-0000-0000-0000B91F0000}"/>
    <cellStyle name="20% - Accent5 3 7 2" xfId="13735" xr:uid="{00000000-0005-0000-0000-0000BA1F0000}"/>
    <cellStyle name="20% - Accent5 3 7 3" xfId="21683" xr:uid="{00000000-0005-0000-0000-0000BB1F0000}"/>
    <cellStyle name="20% - Accent5 3 8" xfId="9304" xr:uid="{00000000-0005-0000-0000-0000BC1F0000}"/>
    <cellStyle name="20% - Accent5 3 8 2" xfId="17262" xr:uid="{00000000-0005-0000-0000-0000BD1F0000}"/>
    <cellStyle name="20% - Accent5 3 8 3" xfId="25206" xr:uid="{00000000-0005-0000-0000-0000BE1F0000}"/>
    <cellStyle name="20% - Accent5 3 9" xfId="10200" xr:uid="{00000000-0005-0000-0000-0000BF1F0000}"/>
    <cellStyle name="20% - Accent5 3_Exh G" xfId="2489" xr:uid="{00000000-0005-0000-0000-0000C01F0000}"/>
    <cellStyle name="20% - Accent5 4" xfId="256" xr:uid="{00000000-0005-0000-0000-0000C11F0000}"/>
    <cellStyle name="20% - Accent5 4 10" xfId="18159" xr:uid="{00000000-0005-0000-0000-0000C21F0000}"/>
    <cellStyle name="20% - Accent5 4 2" xfId="257" xr:uid="{00000000-0005-0000-0000-0000C31F0000}"/>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3" xfId="24324" xr:uid="{00000000-0005-0000-0000-0000C91F0000}"/>
    <cellStyle name="20% - Accent5 4 2 2 2 2 3" xfId="12840" xr:uid="{00000000-0005-0000-0000-0000CA1F0000}"/>
    <cellStyle name="20% - Accent5 4 2 2 2 2 4" xfId="20795" xr:uid="{00000000-0005-0000-0000-0000CB1F0000}"/>
    <cellStyle name="20% - Accent5 4 2 2 2 3" xfId="6648" xr:uid="{00000000-0005-0000-0000-0000CC1F0000}"/>
    <cellStyle name="20% - Accent5 4 2 2 2 3 2" xfId="14620" xr:uid="{00000000-0005-0000-0000-0000CD1F0000}"/>
    <cellStyle name="20% - Accent5 4 2 2 2 3 3" xfId="22567" xr:uid="{00000000-0005-0000-0000-0000CE1F0000}"/>
    <cellStyle name="20% - Accent5 4 2 2 2 4" xfId="11084" xr:uid="{00000000-0005-0000-0000-0000CF1F0000}"/>
    <cellStyle name="20% - Accent5 4 2 2 2 5" xfId="19039" xr:uid="{00000000-0005-0000-0000-0000D01F0000}"/>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3" xfId="23446" xr:uid="{00000000-0005-0000-0000-0000D51F0000}"/>
    <cellStyle name="20% - Accent5 4 2 2 3 3" xfId="11962" xr:uid="{00000000-0005-0000-0000-0000D61F0000}"/>
    <cellStyle name="20% - Accent5 4 2 2 3 4" xfId="19917" xr:uid="{00000000-0005-0000-0000-0000D71F0000}"/>
    <cellStyle name="20% - Accent5 4 2 2 4" xfId="5757" xr:uid="{00000000-0005-0000-0000-0000D81F0000}"/>
    <cellStyle name="20% - Accent5 4 2 2 4 2" xfId="13741" xr:uid="{00000000-0005-0000-0000-0000D91F0000}"/>
    <cellStyle name="20% - Accent5 4 2 2 4 3" xfId="21689" xr:uid="{00000000-0005-0000-0000-0000DA1F0000}"/>
    <cellStyle name="20% - Accent5 4 2 2 5" xfId="9310" xr:uid="{00000000-0005-0000-0000-0000DB1F0000}"/>
    <cellStyle name="20% - Accent5 4 2 2 5 2" xfId="17268" xr:uid="{00000000-0005-0000-0000-0000DC1F0000}"/>
    <cellStyle name="20% - Accent5 4 2 2 5 3" xfId="25212" xr:uid="{00000000-0005-0000-0000-0000DD1F0000}"/>
    <cellStyle name="20% - Accent5 4 2 2 6" xfId="10206" xr:uid="{00000000-0005-0000-0000-0000DE1F0000}"/>
    <cellStyle name="20% - Accent5 4 2 2 7" xfId="18161" xr:uid="{00000000-0005-0000-0000-0000DF1F0000}"/>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3" xfId="24870" xr:uid="{00000000-0005-0000-0000-0000E61F0000}"/>
    <cellStyle name="20% - Accent5 4 2 3 2 2 3" xfId="13386" xr:uid="{00000000-0005-0000-0000-0000E71F0000}"/>
    <cellStyle name="20% - Accent5 4 2 3 2 2 4" xfId="21341" xr:uid="{00000000-0005-0000-0000-0000E81F0000}"/>
    <cellStyle name="20% - Accent5 4 2 3 2 3" xfId="7194" xr:uid="{00000000-0005-0000-0000-0000E91F0000}"/>
    <cellStyle name="20% - Accent5 4 2 3 2 3 2" xfId="15166" xr:uid="{00000000-0005-0000-0000-0000EA1F0000}"/>
    <cellStyle name="20% - Accent5 4 2 3 2 3 3" xfId="23113" xr:uid="{00000000-0005-0000-0000-0000EB1F0000}"/>
    <cellStyle name="20% - Accent5 4 2 3 2 4" xfId="11630" xr:uid="{00000000-0005-0000-0000-0000EC1F0000}"/>
    <cellStyle name="20% - Accent5 4 2 3 2 5" xfId="19585" xr:uid="{00000000-0005-0000-0000-0000ED1F0000}"/>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3" xfId="23992" xr:uid="{00000000-0005-0000-0000-0000F21F0000}"/>
    <cellStyle name="20% - Accent5 4 2 3 3 3" xfId="12508" xr:uid="{00000000-0005-0000-0000-0000F31F0000}"/>
    <cellStyle name="20% - Accent5 4 2 3 3 4" xfId="20463" xr:uid="{00000000-0005-0000-0000-0000F41F0000}"/>
    <cellStyle name="20% - Accent5 4 2 3 4" xfId="6313" xr:uid="{00000000-0005-0000-0000-0000F51F0000}"/>
    <cellStyle name="20% - Accent5 4 2 3 4 2" xfId="14288" xr:uid="{00000000-0005-0000-0000-0000F61F0000}"/>
    <cellStyle name="20% - Accent5 4 2 3 4 3" xfId="22235" xr:uid="{00000000-0005-0000-0000-0000F71F0000}"/>
    <cellStyle name="20% - Accent5 4 2 3 5" xfId="9856" xr:uid="{00000000-0005-0000-0000-0000F81F0000}"/>
    <cellStyle name="20% - Accent5 4 2 3 5 2" xfId="17814" xr:uid="{00000000-0005-0000-0000-0000F91F0000}"/>
    <cellStyle name="20% - Accent5 4 2 3 5 3" xfId="25758" xr:uid="{00000000-0005-0000-0000-0000FA1F0000}"/>
    <cellStyle name="20% - Accent5 4 2 3 6" xfId="10752" xr:uid="{00000000-0005-0000-0000-0000FB1F0000}"/>
    <cellStyle name="20% - Accent5 4 2 3 7" xfId="18707" xr:uid="{00000000-0005-0000-0000-0000FC1F0000}"/>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3" xfId="24323" xr:uid="{00000000-0005-0000-0000-000002200000}"/>
    <cellStyle name="20% - Accent5 4 2 4 2 3" xfId="12839" xr:uid="{00000000-0005-0000-0000-000003200000}"/>
    <cellStyle name="20% - Accent5 4 2 4 2 4" xfId="20794" xr:uid="{00000000-0005-0000-0000-000004200000}"/>
    <cellStyle name="20% - Accent5 4 2 4 3" xfId="6647" xr:uid="{00000000-0005-0000-0000-000005200000}"/>
    <cellStyle name="20% - Accent5 4 2 4 3 2" xfId="14619" xr:uid="{00000000-0005-0000-0000-000006200000}"/>
    <cellStyle name="20% - Accent5 4 2 4 3 3" xfId="22566" xr:uid="{00000000-0005-0000-0000-000007200000}"/>
    <cellStyle name="20% - Accent5 4 2 4 4" xfId="11083" xr:uid="{00000000-0005-0000-0000-000008200000}"/>
    <cellStyle name="20% - Accent5 4 2 4 5" xfId="19038" xr:uid="{00000000-0005-0000-0000-000009200000}"/>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3" xfId="23445" xr:uid="{00000000-0005-0000-0000-00000E200000}"/>
    <cellStyle name="20% - Accent5 4 2 5 3" xfId="11961" xr:uid="{00000000-0005-0000-0000-00000F200000}"/>
    <cellStyle name="20% - Accent5 4 2 5 4" xfId="19916" xr:uid="{00000000-0005-0000-0000-000010200000}"/>
    <cellStyle name="20% - Accent5 4 2 6" xfId="5756" xr:uid="{00000000-0005-0000-0000-000011200000}"/>
    <cellStyle name="20% - Accent5 4 2 6 2" xfId="13740" xr:uid="{00000000-0005-0000-0000-000012200000}"/>
    <cellStyle name="20% - Accent5 4 2 6 3" xfId="21688" xr:uid="{00000000-0005-0000-0000-000013200000}"/>
    <cellStyle name="20% - Accent5 4 2 7" xfId="9309" xr:uid="{00000000-0005-0000-0000-000014200000}"/>
    <cellStyle name="20% - Accent5 4 2 7 2" xfId="17267" xr:uid="{00000000-0005-0000-0000-000015200000}"/>
    <cellStyle name="20% - Accent5 4 2 7 3" xfId="25211" xr:uid="{00000000-0005-0000-0000-000016200000}"/>
    <cellStyle name="20% - Accent5 4 2 8" xfId="10205" xr:uid="{00000000-0005-0000-0000-000017200000}"/>
    <cellStyle name="20% - Accent5 4 2 9" xfId="18160" xr:uid="{00000000-0005-0000-0000-000018200000}"/>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3" xfId="24325" xr:uid="{00000000-0005-0000-0000-00001F200000}"/>
    <cellStyle name="20% - Accent5 4 3 2 2 3" xfId="12841" xr:uid="{00000000-0005-0000-0000-000020200000}"/>
    <cellStyle name="20% - Accent5 4 3 2 2 4" xfId="20796" xr:uid="{00000000-0005-0000-0000-000021200000}"/>
    <cellStyle name="20% - Accent5 4 3 2 3" xfId="6649" xr:uid="{00000000-0005-0000-0000-000022200000}"/>
    <cellStyle name="20% - Accent5 4 3 2 3 2" xfId="14621" xr:uid="{00000000-0005-0000-0000-000023200000}"/>
    <cellStyle name="20% - Accent5 4 3 2 3 3" xfId="22568" xr:uid="{00000000-0005-0000-0000-000024200000}"/>
    <cellStyle name="20% - Accent5 4 3 2 4" xfId="11085" xr:uid="{00000000-0005-0000-0000-000025200000}"/>
    <cellStyle name="20% - Accent5 4 3 2 5" xfId="19040" xr:uid="{00000000-0005-0000-0000-000026200000}"/>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3" xfId="23447" xr:uid="{00000000-0005-0000-0000-00002B200000}"/>
    <cellStyle name="20% - Accent5 4 3 3 3" xfId="11963" xr:uid="{00000000-0005-0000-0000-00002C200000}"/>
    <cellStyle name="20% - Accent5 4 3 3 4" xfId="19918" xr:uid="{00000000-0005-0000-0000-00002D200000}"/>
    <cellStyle name="20% - Accent5 4 3 4" xfId="5758" xr:uid="{00000000-0005-0000-0000-00002E200000}"/>
    <cellStyle name="20% - Accent5 4 3 4 2" xfId="13742" xr:uid="{00000000-0005-0000-0000-00002F200000}"/>
    <cellStyle name="20% - Accent5 4 3 4 3" xfId="21690" xr:uid="{00000000-0005-0000-0000-000030200000}"/>
    <cellStyle name="20% - Accent5 4 3 5" xfId="9311" xr:uid="{00000000-0005-0000-0000-000031200000}"/>
    <cellStyle name="20% - Accent5 4 3 5 2" xfId="17269" xr:uid="{00000000-0005-0000-0000-000032200000}"/>
    <cellStyle name="20% - Accent5 4 3 5 3" xfId="25213" xr:uid="{00000000-0005-0000-0000-000033200000}"/>
    <cellStyle name="20% - Accent5 4 3 6" xfId="10207" xr:uid="{00000000-0005-0000-0000-000034200000}"/>
    <cellStyle name="20% - Accent5 4 3 7" xfId="18162" xr:uid="{00000000-0005-0000-0000-000035200000}"/>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3" xfId="24869" xr:uid="{00000000-0005-0000-0000-00003C200000}"/>
    <cellStyle name="20% - Accent5 4 4 2 2 3" xfId="13385" xr:uid="{00000000-0005-0000-0000-00003D200000}"/>
    <cellStyle name="20% - Accent5 4 4 2 2 4" xfId="21340" xr:uid="{00000000-0005-0000-0000-00003E200000}"/>
    <cellStyle name="20% - Accent5 4 4 2 3" xfId="7193" xr:uid="{00000000-0005-0000-0000-00003F200000}"/>
    <cellStyle name="20% - Accent5 4 4 2 3 2" xfId="15165" xr:uid="{00000000-0005-0000-0000-000040200000}"/>
    <cellStyle name="20% - Accent5 4 4 2 3 3" xfId="23112" xr:uid="{00000000-0005-0000-0000-000041200000}"/>
    <cellStyle name="20% - Accent5 4 4 2 4" xfId="11629" xr:uid="{00000000-0005-0000-0000-000042200000}"/>
    <cellStyle name="20% - Accent5 4 4 2 5" xfId="19584" xr:uid="{00000000-0005-0000-0000-000043200000}"/>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3" xfId="23991" xr:uid="{00000000-0005-0000-0000-000048200000}"/>
    <cellStyle name="20% - Accent5 4 4 3 3" xfId="12507" xr:uid="{00000000-0005-0000-0000-000049200000}"/>
    <cellStyle name="20% - Accent5 4 4 3 4" xfId="20462" xr:uid="{00000000-0005-0000-0000-00004A200000}"/>
    <cellStyle name="20% - Accent5 4 4 4" xfId="6312" xr:uid="{00000000-0005-0000-0000-00004B200000}"/>
    <cellStyle name="20% - Accent5 4 4 4 2" xfId="14287" xr:uid="{00000000-0005-0000-0000-00004C200000}"/>
    <cellStyle name="20% - Accent5 4 4 4 3" xfId="22234" xr:uid="{00000000-0005-0000-0000-00004D200000}"/>
    <cellStyle name="20% - Accent5 4 4 5" xfId="9855" xr:uid="{00000000-0005-0000-0000-00004E200000}"/>
    <cellStyle name="20% - Accent5 4 4 5 2" xfId="17813" xr:uid="{00000000-0005-0000-0000-00004F200000}"/>
    <cellStyle name="20% - Accent5 4 4 5 3" xfId="25757" xr:uid="{00000000-0005-0000-0000-000050200000}"/>
    <cellStyle name="20% - Accent5 4 4 6" xfId="10751" xr:uid="{00000000-0005-0000-0000-000051200000}"/>
    <cellStyle name="20% - Accent5 4 4 7" xfId="18706" xr:uid="{00000000-0005-0000-0000-000052200000}"/>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3" xfId="24322" xr:uid="{00000000-0005-0000-0000-000058200000}"/>
    <cellStyle name="20% - Accent5 4 5 2 3" xfId="12838" xr:uid="{00000000-0005-0000-0000-000059200000}"/>
    <cellStyle name="20% - Accent5 4 5 2 4" xfId="20793" xr:uid="{00000000-0005-0000-0000-00005A200000}"/>
    <cellStyle name="20% - Accent5 4 5 3" xfId="6646" xr:uid="{00000000-0005-0000-0000-00005B200000}"/>
    <cellStyle name="20% - Accent5 4 5 3 2" xfId="14618" xr:uid="{00000000-0005-0000-0000-00005C200000}"/>
    <cellStyle name="20% - Accent5 4 5 3 3" xfId="22565" xr:uid="{00000000-0005-0000-0000-00005D200000}"/>
    <cellStyle name="20% - Accent5 4 5 4" xfId="11082" xr:uid="{00000000-0005-0000-0000-00005E200000}"/>
    <cellStyle name="20% - Accent5 4 5 5" xfId="19037" xr:uid="{00000000-0005-0000-0000-00005F200000}"/>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3" xfId="23444" xr:uid="{00000000-0005-0000-0000-000064200000}"/>
    <cellStyle name="20% - Accent5 4 6 3" xfId="11960" xr:uid="{00000000-0005-0000-0000-000065200000}"/>
    <cellStyle name="20% - Accent5 4 6 4" xfId="19915" xr:uid="{00000000-0005-0000-0000-000066200000}"/>
    <cellStyle name="20% - Accent5 4 7" xfId="5755" xr:uid="{00000000-0005-0000-0000-000067200000}"/>
    <cellStyle name="20% - Accent5 4 7 2" xfId="13739" xr:uid="{00000000-0005-0000-0000-000068200000}"/>
    <cellStyle name="20% - Accent5 4 7 3" xfId="21687" xr:uid="{00000000-0005-0000-0000-000069200000}"/>
    <cellStyle name="20% - Accent5 4 8" xfId="9308" xr:uid="{00000000-0005-0000-0000-00006A200000}"/>
    <cellStyle name="20% - Accent5 4 8 2" xfId="17266" xr:uid="{00000000-0005-0000-0000-00006B200000}"/>
    <cellStyle name="20% - Accent5 4 8 3" xfId="25210" xr:uid="{00000000-0005-0000-0000-00006C200000}"/>
    <cellStyle name="20% - Accent5 4 9" xfId="10204" xr:uid="{00000000-0005-0000-0000-00006D200000}"/>
    <cellStyle name="20% - Accent5 4_Exh G" xfId="2501" xr:uid="{00000000-0005-0000-0000-00006E200000}"/>
    <cellStyle name="20% - Accent5 5" xfId="260" xr:uid="{00000000-0005-0000-0000-00006F200000}"/>
    <cellStyle name="20% - Accent5 5 10" xfId="18163" xr:uid="{00000000-0005-0000-0000-000070200000}"/>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3" xfId="24328" xr:uid="{00000000-0005-0000-0000-000077200000}"/>
    <cellStyle name="20% - Accent5 5 2 2 2 2 3" xfId="12844" xr:uid="{00000000-0005-0000-0000-000078200000}"/>
    <cellStyle name="20% - Accent5 5 2 2 2 2 4" xfId="20799" xr:uid="{00000000-0005-0000-0000-000079200000}"/>
    <cellStyle name="20% - Accent5 5 2 2 2 3" xfId="6652" xr:uid="{00000000-0005-0000-0000-00007A200000}"/>
    <cellStyle name="20% - Accent5 5 2 2 2 3 2" xfId="14624" xr:uid="{00000000-0005-0000-0000-00007B200000}"/>
    <cellStyle name="20% - Accent5 5 2 2 2 3 3" xfId="22571" xr:uid="{00000000-0005-0000-0000-00007C200000}"/>
    <cellStyle name="20% - Accent5 5 2 2 2 4" xfId="11088" xr:uid="{00000000-0005-0000-0000-00007D200000}"/>
    <cellStyle name="20% - Accent5 5 2 2 2 5" xfId="19043" xr:uid="{00000000-0005-0000-0000-00007E20000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3" xfId="23450" xr:uid="{00000000-0005-0000-0000-000083200000}"/>
    <cellStyle name="20% - Accent5 5 2 2 3 3" xfId="11966" xr:uid="{00000000-0005-0000-0000-000084200000}"/>
    <cellStyle name="20% - Accent5 5 2 2 3 4" xfId="19921" xr:uid="{00000000-0005-0000-0000-000085200000}"/>
    <cellStyle name="20% - Accent5 5 2 2 4" xfId="5761" xr:uid="{00000000-0005-0000-0000-000086200000}"/>
    <cellStyle name="20% - Accent5 5 2 2 4 2" xfId="13745" xr:uid="{00000000-0005-0000-0000-000087200000}"/>
    <cellStyle name="20% - Accent5 5 2 2 4 3" xfId="21693" xr:uid="{00000000-0005-0000-0000-000088200000}"/>
    <cellStyle name="20% - Accent5 5 2 2 5" xfId="9314" xr:uid="{00000000-0005-0000-0000-000089200000}"/>
    <cellStyle name="20% - Accent5 5 2 2 5 2" xfId="17272" xr:uid="{00000000-0005-0000-0000-00008A200000}"/>
    <cellStyle name="20% - Accent5 5 2 2 5 3" xfId="25216" xr:uid="{00000000-0005-0000-0000-00008B200000}"/>
    <cellStyle name="20% - Accent5 5 2 2 6" xfId="10210" xr:uid="{00000000-0005-0000-0000-00008C200000}"/>
    <cellStyle name="20% - Accent5 5 2 2 7" xfId="18165" xr:uid="{00000000-0005-0000-0000-00008D200000}"/>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3" xfId="24327" xr:uid="{00000000-0005-0000-0000-000093200000}"/>
    <cellStyle name="20% - Accent5 5 2 3 2 3" xfId="12843" xr:uid="{00000000-0005-0000-0000-000094200000}"/>
    <cellStyle name="20% - Accent5 5 2 3 2 4" xfId="20798" xr:uid="{00000000-0005-0000-0000-000095200000}"/>
    <cellStyle name="20% - Accent5 5 2 3 3" xfId="6651" xr:uid="{00000000-0005-0000-0000-000096200000}"/>
    <cellStyle name="20% - Accent5 5 2 3 3 2" xfId="14623" xr:uid="{00000000-0005-0000-0000-000097200000}"/>
    <cellStyle name="20% - Accent5 5 2 3 3 3" xfId="22570" xr:uid="{00000000-0005-0000-0000-000098200000}"/>
    <cellStyle name="20% - Accent5 5 2 3 4" xfId="11087" xr:uid="{00000000-0005-0000-0000-000099200000}"/>
    <cellStyle name="20% - Accent5 5 2 3 5" xfId="19042" xr:uid="{00000000-0005-0000-0000-00009A200000}"/>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3" xfId="23449" xr:uid="{00000000-0005-0000-0000-00009F200000}"/>
    <cellStyle name="20% - Accent5 5 2 4 3" xfId="11965" xr:uid="{00000000-0005-0000-0000-0000A0200000}"/>
    <cellStyle name="20% - Accent5 5 2 4 4" xfId="19920" xr:uid="{00000000-0005-0000-0000-0000A1200000}"/>
    <cellStyle name="20% - Accent5 5 2 5" xfId="5760" xr:uid="{00000000-0005-0000-0000-0000A2200000}"/>
    <cellStyle name="20% - Accent5 5 2 5 2" xfId="13744" xr:uid="{00000000-0005-0000-0000-0000A3200000}"/>
    <cellStyle name="20% - Accent5 5 2 5 3" xfId="21692" xr:uid="{00000000-0005-0000-0000-0000A4200000}"/>
    <cellStyle name="20% - Accent5 5 2 6" xfId="9313" xr:uid="{00000000-0005-0000-0000-0000A5200000}"/>
    <cellStyle name="20% - Accent5 5 2 6 2" xfId="17271" xr:uid="{00000000-0005-0000-0000-0000A6200000}"/>
    <cellStyle name="20% - Accent5 5 2 6 3" xfId="25215" xr:uid="{00000000-0005-0000-0000-0000A7200000}"/>
    <cellStyle name="20% - Accent5 5 2 7" xfId="10209" xr:uid="{00000000-0005-0000-0000-0000A8200000}"/>
    <cellStyle name="20% - Accent5 5 2 8" xfId="18164" xr:uid="{00000000-0005-0000-0000-0000A9200000}"/>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3" xfId="24329" xr:uid="{00000000-0005-0000-0000-0000B0200000}"/>
    <cellStyle name="20% - Accent5 5 3 2 2 3" xfId="12845" xr:uid="{00000000-0005-0000-0000-0000B1200000}"/>
    <cellStyle name="20% - Accent5 5 3 2 2 4" xfId="20800" xr:uid="{00000000-0005-0000-0000-0000B2200000}"/>
    <cellStyle name="20% - Accent5 5 3 2 3" xfId="6653" xr:uid="{00000000-0005-0000-0000-0000B3200000}"/>
    <cellStyle name="20% - Accent5 5 3 2 3 2" xfId="14625" xr:uid="{00000000-0005-0000-0000-0000B4200000}"/>
    <cellStyle name="20% - Accent5 5 3 2 3 3" xfId="22572" xr:uid="{00000000-0005-0000-0000-0000B5200000}"/>
    <cellStyle name="20% - Accent5 5 3 2 4" xfId="11089" xr:uid="{00000000-0005-0000-0000-0000B6200000}"/>
    <cellStyle name="20% - Accent5 5 3 2 5" xfId="19044" xr:uid="{00000000-0005-0000-0000-0000B7200000}"/>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3" xfId="23451" xr:uid="{00000000-0005-0000-0000-0000BC200000}"/>
    <cellStyle name="20% - Accent5 5 3 3 3" xfId="11967" xr:uid="{00000000-0005-0000-0000-0000BD200000}"/>
    <cellStyle name="20% - Accent5 5 3 3 4" xfId="19922" xr:uid="{00000000-0005-0000-0000-0000BE200000}"/>
    <cellStyle name="20% - Accent5 5 3 4" xfId="5762" xr:uid="{00000000-0005-0000-0000-0000BF200000}"/>
    <cellStyle name="20% - Accent5 5 3 4 2" xfId="13746" xr:uid="{00000000-0005-0000-0000-0000C0200000}"/>
    <cellStyle name="20% - Accent5 5 3 4 3" xfId="21694" xr:uid="{00000000-0005-0000-0000-0000C1200000}"/>
    <cellStyle name="20% - Accent5 5 3 5" xfId="9315" xr:uid="{00000000-0005-0000-0000-0000C2200000}"/>
    <cellStyle name="20% - Accent5 5 3 5 2" xfId="17273" xr:uid="{00000000-0005-0000-0000-0000C3200000}"/>
    <cellStyle name="20% - Accent5 5 3 5 3" xfId="25217" xr:uid="{00000000-0005-0000-0000-0000C4200000}"/>
    <cellStyle name="20% - Accent5 5 3 6" xfId="10211" xr:uid="{00000000-0005-0000-0000-0000C5200000}"/>
    <cellStyle name="20% - Accent5 5 3 7" xfId="18166" xr:uid="{00000000-0005-0000-0000-0000C6200000}"/>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3" xfId="24326" xr:uid="{00000000-0005-0000-0000-0000CD200000}"/>
    <cellStyle name="20% - Accent5 5 5 2 3" xfId="12842" xr:uid="{00000000-0005-0000-0000-0000CE200000}"/>
    <cellStyle name="20% - Accent5 5 5 2 4" xfId="20797" xr:uid="{00000000-0005-0000-0000-0000CF200000}"/>
    <cellStyle name="20% - Accent5 5 5 3" xfId="6650" xr:uid="{00000000-0005-0000-0000-0000D0200000}"/>
    <cellStyle name="20% - Accent5 5 5 3 2" xfId="14622" xr:uid="{00000000-0005-0000-0000-0000D1200000}"/>
    <cellStyle name="20% - Accent5 5 5 3 3" xfId="22569" xr:uid="{00000000-0005-0000-0000-0000D2200000}"/>
    <cellStyle name="20% - Accent5 5 5 4" xfId="11086" xr:uid="{00000000-0005-0000-0000-0000D3200000}"/>
    <cellStyle name="20% - Accent5 5 5 5" xfId="19041" xr:uid="{00000000-0005-0000-0000-0000D4200000}"/>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3" xfId="23448" xr:uid="{00000000-0005-0000-0000-0000D9200000}"/>
    <cellStyle name="20% - Accent5 5 6 3" xfId="11964" xr:uid="{00000000-0005-0000-0000-0000DA200000}"/>
    <cellStyle name="20% - Accent5 5 6 4" xfId="19919" xr:uid="{00000000-0005-0000-0000-0000DB200000}"/>
    <cellStyle name="20% - Accent5 5 7" xfId="5759" xr:uid="{00000000-0005-0000-0000-0000DC200000}"/>
    <cellStyle name="20% - Accent5 5 7 2" xfId="13743" xr:uid="{00000000-0005-0000-0000-0000DD200000}"/>
    <cellStyle name="20% - Accent5 5 7 3" xfId="21691" xr:uid="{00000000-0005-0000-0000-0000DE200000}"/>
    <cellStyle name="20% - Accent5 5 8" xfId="9312" xr:uid="{00000000-0005-0000-0000-0000DF200000}"/>
    <cellStyle name="20% - Accent5 5 8 2" xfId="17270" xr:uid="{00000000-0005-0000-0000-0000E0200000}"/>
    <cellStyle name="20% - Accent5 5 8 3" xfId="25214" xr:uid="{00000000-0005-0000-0000-0000E1200000}"/>
    <cellStyle name="20% - Accent5 5 9" xfId="10208" xr:uid="{00000000-0005-0000-0000-0000E2200000}"/>
    <cellStyle name="20% - Accent5 5_Exh G" xfId="2513" xr:uid="{00000000-0005-0000-0000-0000E3200000}"/>
    <cellStyle name="20% - Accent5 6" xfId="264" xr:uid="{00000000-0005-0000-0000-0000E4200000}"/>
    <cellStyle name="20% - Accent5 6 10" xfId="18167" xr:uid="{00000000-0005-0000-0000-0000E5200000}"/>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3" xfId="24332" xr:uid="{00000000-0005-0000-0000-0000EC200000}"/>
    <cellStyle name="20% - Accent5 6 2 2 2 2 3" xfId="12848" xr:uid="{00000000-0005-0000-0000-0000ED200000}"/>
    <cellStyle name="20% - Accent5 6 2 2 2 2 4" xfId="20803" xr:uid="{00000000-0005-0000-0000-0000EE200000}"/>
    <cellStyle name="20% - Accent5 6 2 2 2 3" xfId="6656" xr:uid="{00000000-0005-0000-0000-0000EF200000}"/>
    <cellStyle name="20% - Accent5 6 2 2 2 3 2" xfId="14628" xr:uid="{00000000-0005-0000-0000-0000F0200000}"/>
    <cellStyle name="20% - Accent5 6 2 2 2 3 3" xfId="22575" xr:uid="{00000000-0005-0000-0000-0000F1200000}"/>
    <cellStyle name="20% - Accent5 6 2 2 2 4" xfId="11092" xr:uid="{00000000-0005-0000-0000-0000F2200000}"/>
    <cellStyle name="20% - Accent5 6 2 2 2 5" xfId="19047" xr:uid="{00000000-0005-0000-0000-0000F3200000}"/>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3" xfId="23454" xr:uid="{00000000-0005-0000-0000-0000F8200000}"/>
    <cellStyle name="20% - Accent5 6 2 2 3 3" xfId="11970" xr:uid="{00000000-0005-0000-0000-0000F9200000}"/>
    <cellStyle name="20% - Accent5 6 2 2 3 4" xfId="19925" xr:uid="{00000000-0005-0000-0000-0000FA200000}"/>
    <cellStyle name="20% - Accent5 6 2 2 4" xfId="5765" xr:uid="{00000000-0005-0000-0000-0000FB200000}"/>
    <cellStyle name="20% - Accent5 6 2 2 4 2" xfId="13749" xr:uid="{00000000-0005-0000-0000-0000FC200000}"/>
    <cellStyle name="20% - Accent5 6 2 2 4 3" xfId="21697" xr:uid="{00000000-0005-0000-0000-0000FD200000}"/>
    <cellStyle name="20% - Accent5 6 2 2 5" xfId="9318" xr:uid="{00000000-0005-0000-0000-0000FE200000}"/>
    <cellStyle name="20% - Accent5 6 2 2 5 2" xfId="17276" xr:uid="{00000000-0005-0000-0000-0000FF200000}"/>
    <cellStyle name="20% - Accent5 6 2 2 5 3" xfId="25220" xr:uid="{00000000-0005-0000-0000-000000210000}"/>
    <cellStyle name="20% - Accent5 6 2 2 6" xfId="10214" xr:uid="{00000000-0005-0000-0000-000001210000}"/>
    <cellStyle name="20% - Accent5 6 2 2 7" xfId="18169" xr:uid="{00000000-0005-0000-0000-000002210000}"/>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3" xfId="24331" xr:uid="{00000000-0005-0000-0000-000008210000}"/>
    <cellStyle name="20% - Accent5 6 2 3 2 3" xfId="12847" xr:uid="{00000000-0005-0000-0000-000009210000}"/>
    <cellStyle name="20% - Accent5 6 2 3 2 4" xfId="20802" xr:uid="{00000000-0005-0000-0000-00000A210000}"/>
    <cellStyle name="20% - Accent5 6 2 3 3" xfId="6655" xr:uid="{00000000-0005-0000-0000-00000B210000}"/>
    <cellStyle name="20% - Accent5 6 2 3 3 2" xfId="14627" xr:uid="{00000000-0005-0000-0000-00000C210000}"/>
    <cellStyle name="20% - Accent5 6 2 3 3 3" xfId="22574" xr:uid="{00000000-0005-0000-0000-00000D210000}"/>
    <cellStyle name="20% - Accent5 6 2 3 4" xfId="11091" xr:uid="{00000000-0005-0000-0000-00000E210000}"/>
    <cellStyle name="20% - Accent5 6 2 3 5" xfId="19046" xr:uid="{00000000-0005-0000-0000-00000F210000}"/>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3" xfId="23453" xr:uid="{00000000-0005-0000-0000-000014210000}"/>
    <cellStyle name="20% - Accent5 6 2 4 3" xfId="11969" xr:uid="{00000000-0005-0000-0000-000015210000}"/>
    <cellStyle name="20% - Accent5 6 2 4 4" xfId="19924" xr:uid="{00000000-0005-0000-0000-000016210000}"/>
    <cellStyle name="20% - Accent5 6 2 5" xfId="5764" xr:uid="{00000000-0005-0000-0000-000017210000}"/>
    <cellStyle name="20% - Accent5 6 2 5 2" xfId="13748" xr:uid="{00000000-0005-0000-0000-000018210000}"/>
    <cellStyle name="20% - Accent5 6 2 5 3" xfId="21696" xr:uid="{00000000-0005-0000-0000-000019210000}"/>
    <cellStyle name="20% - Accent5 6 2 6" xfId="9317" xr:uid="{00000000-0005-0000-0000-00001A210000}"/>
    <cellStyle name="20% - Accent5 6 2 6 2" xfId="17275" xr:uid="{00000000-0005-0000-0000-00001B210000}"/>
    <cellStyle name="20% - Accent5 6 2 6 3" xfId="25219" xr:uid="{00000000-0005-0000-0000-00001C210000}"/>
    <cellStyle name="20% - Accent5 6 2 7" xfId="10213" xr:uid="{00000000-0005-0000-0000-00001D210000}"/>
    <cellStyle name="20% - Accent5 6 2 8" xfId="18168" xr:uid="{00000000-0005-0000-0000-00001E210000}"/>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3" xfId="24333" xr:uid="{00000000-0005-0000-0000-000025210000}"/>
    <cellStyle name="20% - Accent5 6 3 2 2 3" xfId="12849" xr:uid="{00000000-0005-0000-0000-000026210000}"/>
    <cellStyle name="20% - Accent5 6 3 2 2 4" xfId="20804" xr:uid="{00000000-0005-0000-0000-000027210000}"/>
    <cellStyle name="20% - Accent5 6 3 2 3" xfId="6657" xr:uid="{00000000-0005-0000-0000-000028210000}"/>
    <cellStyle name="20% - Accent5 6 3 2 3 2" xfId="14629" xr:uid="{00000000-0005-0000-0000-000029210000}"/>
    <cellStyle name="20% - Accent5 6 3 2 3 3" xfId="22576" xr:uid="{00000000-0005-0000-0000-00002A210000}"/>
    <cellStyle name="20% - Accent5 6 3 2 4" xfId="11093" xr:uid="{00000000-0005-0000-0000-00002B210000}"/>
    <cellStyle name="20% - Accent5 6 3 2 5" xfId="19048" xr:uid="{00000000-0005-0000-0000-00002C210000}"/>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3" xfId="23455" xr:uid="{00000000-0005-0000-0000-000031210000}"/>
    <cellStyle name="20% - Accent5 6 3 3 3" xfId="11971" xr:uid="{00000000-0005-0000-0000-000032210000}"/>
    <cellStyle name="20% - Accent5 6 3 3 4" xfId="19926" xr:uid="{00000000-0005-0000-0000-000033210000}"/>
    <cellStyle name="20% - Accent5 6 3 4" xfId="5766" xr:uid="{00000000-0005-0000-0000-000034210000}"/>
    <cellStyle name="20% - Accent5 6 3 4 2" xfId="13750" xr:uid="{00000000-0005-0000-0000-000035210000}"/>
    <cellStyle name="20% - Accent5 6 3 4 3" xfId="21698" xr:uid="{00000000-0005-0000-0000-000036210000}"/>
    <cellStyle name="20% - Accent5 6 3 5" xfId="9319" xr:uid="{00000000-0005-0000-0000-000037210000}"/>
    <cellStyle name="20% - Accent5 6 3 5 2" xfId="17277" xr:uid="{00000000-0005-0000-0000-000038210000}"/>
    <cellStyle name="20% - Accent5 6 3 5 3" xfId="25221" xr:uid="{00000000-0005-0000-0000-000039210000}"/>
    <cellStyle name="20% - Accent5 6 3 6" xfId="10215" xr:uid="{00000000-0005-0000-0000-00003A210000}"/>
    <cellStyle name="20% - Accent5 6 3 7" xfId="18170" xr:uid="{00000000-0005-0000-0000-00003B210000}"/>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3" xfId="24871" xr:uid="{00000000-0005-0000-0000-000042210000}"/>
    <cellStyle name="20% - Accent5 6 4 2 2 3" xfId="13387" xr:uid="{00000000-0005-0000-0000-000043210000}"/>
    <cellStyle name="20% - Accent5 6 4 2 2 4" xfId="21342" xr:uid="{00000000-0005-0000-0000-000044210000}"/>
    <cellStyle name="20% - Accent5 6 4 2 3" xfId="7195" xr:uid="{00000000-0005-0000-0000-000045210000}"/>
    <cellStyle name="20% - Accent5 6 4 2 3 2" xfId="15167" xr:uid="{00000000-0005-0000-0000-000046210000}"/>
    <cellStyle name="20% - Accent5 6 4 2 3 3" xfId="23114" xr:uid="{00000000-0005-0000-0000-000047210000}"/>
    <cellStyle name="20% - Accent5 6 4 2 4" xfId="11631" xr:uid="{00000000-0005-0000-0000-000048210000}"/>
    <cellStyle name="20% - Accent5 6 4 2 5" xfId="19586" xr:uid="{00000000-0005-0000-0000-000049210000}"/>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3" xfId="23993" xr:uid="{00000000-0005-0000-0000-00004E210000}"/>
    <cellStyle name="20% - Accent5 6 4 3 3" xfId="12509" xr:uid="{00000000-0005-0000-0000-00004F210000}"/>
    <cellStyle name="20% - Accent5 6 4 3 4" xfId="20464" xr:uid="{00000000-0005-0000-0000-000050210000}"/>
    <cellStyle name="20% - Accent5 6 4 4" xfId="6314" xr:uid="{00000000-0005-0000-0000-000051210000}"/>
    <cellStyle name="20% - Accent5 6 4 4 2" xfId="14289" xr:uid="{00000000-0005-0000-0000-000052210000}"/>
    <cellStyle name="20% - Accent5 6 4 4 3" xfId="22236" xr:uid="{00000000-0005-0000-0000-000053210000}"/>
    <cellStyle name="20% - Accent5 6 4 5" xfId="9857" xr:uid="{00000000-0005-0000-0000-000054210000}"/>
    <cellStyle name="20% - Accent5 6 4 5 2" xfId="17815" xr:uid="{00000000-0005-0000-0000-000055210000}"/>
    <cellStyle name="20% - Accent5 6 4 5 3" xfId="25759" xr:uid="{00000000-0005-0000-0000-000056210000}"/>
    <cellStyle name="20% - Accent5 6 4 6" xfId="10753" xr:uid="{00000000-0005-0000-0000-000057210000}"/>
    <cellStyle name="20% - Accent5 6 4 7" xfId="18708" xr:uid="{00000000-0005-0000-0000-000058210000}"/>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3" xfId="24330" xr:uid="{00000000-0005-0000-0000-00005E210000}"/>
    <cellStyle name="20% - Accent5 6 5 2 3" xfId="12846" xr:uid="{00000000-0005-0000-0000-00005F210000}"/>
    <cellStyle name="20% - Accent5 6 5 2 4" xfId="20801" xr:uid="{00000000-0005-0000-0000-000060210000}"/>
    <cellStyle name="20% - Accent5 6 5 3" xfId="6654" xr:uid="{00000000-0005-0000-0000-000061210000}"/>
    <cellStyle name="20% - Accent5 6 5 3 2" xfId="14626" xr:uid="{00000000-0005-0000-0000-000062210000}"/>
    <cellStyle name="20% - Accent5 6 5 3 3" xfId="22573" xr:uid="{00000000-0005-0000-0000-000063210000}"/>
    <cellStyle name="20% - Accent5 6 5 4" xfId="11090" xr:uid="{00000000-0005-0000-0000-000064210000}"/>
    <cellStyle name="20% - Accent5 6 5 5" xfId="19045" xr:uid="{00000000-0005-0000-0000-000065210000}"/>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3" xfId="23452" xr:uid="{00000000-0005-0000-0000-00006A210000}"/>
    <cellStyle name="20% - Accent5 6 6 3" xfId="11968" xr:uid="{00000000-0005-0000-0000-00006B210000}"/>
    <cellStyle name="20% - Accent5 6 6 4" xfId="19923" xr:uid="{00000000-0005-0000-0000-00006C210000}"/>
    <cellStyle name="20% - Accent5 6 7" xfId="5763" xr:uid="{00000000-0005-0000-0000-00006D210000}"/>
    <cellStyle name="20% - Accent5 6 7 2" xfId="13747" xr:uid="{00000000-0005-0000-0000-00006E210000}"/>
    <cellStyle name="20% - Accent5 6 7 3" xfId="21695" xr:uid="{00000000-0005-0000-0000-00006F210000}"/>
    <cellStyle name="20% - Accent5 6 8" xfId="9316" xr:uid="{00000000-0005-0000-0000-000070210000}"/>
    <cellStyle name="20% - Accent5 6 8 2" xfId="17274" xr:uid="{00000000-0005-0000-0000-000071210000}"/>
    <cellStyle name="20% - Accent5 6 8 3" xfId="25218" xr:uid="{00000000-0005-0000-0000-000072210000}"/>
    <cellStyle name="20% - Accent5 6 9" xfId="10212" xr:uid="{00000000-0005-0000-0000-000073210000}"/>
    <cellStyle name="20% - Accent5 6_Exh G" xfId="2521" xr:uid="{00000000-0005-0000-0000-000074210000}"/>
    <cellStyle name="20% - Accent5 7" xfId="268" xr:uid="{00000000-0005-0000-0000-000075210000}"/>
    <cellStyle name="20% - Accent5 7 10" xfId="18171" xr:uid="{00000000-0005-0000-0000-000076210000}"/>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3" xfId="24336" xr:uid="{00000000-0005-0000-0000-00007D210000}"/>
    <cellStyle name="20% - Accent5 7 2 2 2 2 3" xfId="12852" xr:uid="{00000000-0005-0000-0000-00007E210000}"/>
    <cellStyle name="20% - Accent5 7 2 2 2 2 4" xfId="20807" xr:uid="{00000000-0005-0000-0000-00007F210000}"/>
    <cellStyle name="20% - Accent5 7 2 2 2 3" xfId="6660" xr:uid="{00000000-0005-0000-0000-000080210000}"/>
    <cellStyle name="20% - Accent5 7 2 2 2 3 2" xfId="14632" xr:uid="{00000000-0005-0000-0000-000081210000}"/>
    <cellStyle name="20% - Accent5 7 2 2 2 3 3" xfId="22579" xr:uid="{00000000-0005-0000-0000-000082210000}"/>
    <cellStyle name="20% - Accent5 7 2 2 2 4" xfId="11096" xr:uid="{00000000-0005-0000-0000-000083210000}"/>
    <cellStyle name="20% - Accent5 7 2 2 2 5" xfId="19051" xr:uid="{00000000-0005-0000-0000-000084210000}"/>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3" xfId="23458" xr:uid="{00000000-0005-0000-0000-000089210000}"/>
    <cellStyle name="20% - Accent5 7 2 2 3 3" xfId="11974" xr:uid="{00000000-0005-0000-0000-00008A210000}"/>
    <cellStyle name="20% - Accent5 7 2 2 3 4" xfId="19929" xr:uid="{00000000-0005-0000-0000-00008B210000}"/>
    <cellStyle name="20% - Accent5 7 2 2 4" xfId="5769" xr:uid="{00000000-0005-0000-0000-00008C210000}"/>
    <cellStyle name="20% - Accent5 7 2 2 4 2" xfId="13753" xr:uid="{00000000-0005-0000-0000-00008D210000}"/>
    <cellStyle name="20% - Accent5 7 2 2 4 3" xfId="21701" xr:uid="{00000000-0005-0000-0000-00008E210000}"/>
    <cellStyle name="20% - Accent5 7 2 2 5" xfId="9322" xr:uid="{00000000-0005-0000-0000-00008F210000}"/>
    <cellStyle name="20% - Accent5 7 2 2 5 2" xfId="17280" xr:uid="{00000000-0005-0000-0000-000090210000}"/>
    <cellStyle name="20% - Accent5 7 2 2 5 3" xfId="25224" xr:uid="{00000000-0005-0000-0000-000091210000}"/>
    <cellStyle name="20% - Accent5 7 2 2 6" xfId="10218" xr:uid="{00000000-0005-0000-0000-000092210000}"/>
    <cellStyle name="20% - Accent5 7 2 2 7" xfId="18173" xr:uid="{00000000-0005-0000-0000-000093210000}"/>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3" xfId="24335" xr:uid="{00000000-0005-0000-0000-000099210000}"/>
    <cellStyle name="20% - Accent5 7 2 3 2 3" xfId="12851" xr:uid="{00000000-0005-0000-0000-00009A210000}"/>
    <cellStyle name="20% - Accent5 7 2 3 2 4" xfId="20806" xr:uid="{00000000-0005-0000-0000-00009B210000}"/>
    <cellStyle name="20% - Accent5 7 2 3 3" xfId="6659" xr:uid="{00000000-0005-0000-0000-00009C210000}"/>
    <cellStyle name="20% - Accent5 7 2 3 3 2" xfId="14631" xr:uid="{00000000-0005-0000-0000-00009D210000}"/>
    <cellStyle name="20% - Accent5 7 2 3 3 3" xfId="22578" xr:uid="{00000000-0005-0000-0000-00009E210000}"/>
    <cellStyle name="20% - Accent5 7 2 3 4" xfId="11095" xr:uid="{00000000-0005-0000-0000-00009F210000}"/>
    <cellStyle name="20% - Accent5 7 2 3 5" xfId="19050" xr:uid="{00000000-0005-0000-0000-0000A0210000}"/>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3" xfId="23457" xr:uid="{00000000-0005-0000-0000-0000A5210000}"/>
    <cellStyle name="20% - Accent5 7 2 4 3" xfId="11973" xr:uid="{00000000-0005-0000-0000-0000A6210000}"/>
    <cellStyle name="20% - Accent5 7 2 4 4" xfId="19928" xr:uid="{00000000-0005-0000-0000-0000A7210000}"/>
    <cellStyle name="20% - Accent5 7 2 5" xfId="5768" xr:uid="{00000000-0005-0000-0000-0000A8210000}"/>
    <cellStyle name="20% - Accent5 7 2 5 2" xfId="13752" xr:uid="{00000000-0005-0000-0000-0000A9210000}"/>
    <cellStyle name="20% - Accent5 7 2 5 3" xfId="21700" xr:uid="{00000000-0005-0000-0000-0000AA210000}"/>
    <cellStyle name="20% - Accent5 7 2 6" xfId="9321" xr:uid="{00000000-0005-0000-0000-0000AB210000}"/>
    <cellStyle name="20% - Accent5 7 2 6 2" xfId="17279" xr:uid="{00000000-0005-0000-0000-0000AC210000}"/>
    <cellStyle name="20% - Accent5 7 2 6 3" xfId="25223" xr:uid="{00000000-0005-0000-0000-0000AD210000}"/>
    <cellStyle name="20% - Accent5 7 2 7" xfId="10217" xr:uid="{00000000-0005-0000-0000-0000AE210000}"/>
    <cellStyle name="20% - Accent5 7 2 8" xfId="18172" xr:uid="{00000000-0005-0000-0000-0000AF210000}"/>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3" xfId="24337" xr:uid="{00000000-0005-0000-0000-0000B6210000}"/>
    <cellStyle name="20% - Accent5 7 3 2 2 3" xfId="12853" xr:uid="{00000000-0005-0000-0000-0000B7210000}"/>
    <cellStyle name="20% - Accent5 7 3 2 2 4" xfId="20808" xr:uid="{00000000-0005-0000-0000-0000B8210000}"/>
    <cellStyle name="20% - Accent5 7 3 2 3" xfId="6661" xr:uid="{00000000-0005-0000-0000-0000B9210000}"/>
    <cellStyle name="20% - Accent5 7 3 2 3 2" xfId="14633" xr:uid="{00000000-0005-0000-0000-0000BA210000}"/>
    <cellStyle name="20% - Accent5 7 3 2 3 3" xfId="22580" xr:uid="{00000000-0005-0000-0000-0000BB210000}"/>
    <cellStyle name="20% - Accent5 7 3 2 4" xfId="11097" xr:uid="{00000000-0005-0000-0000-0000BC210000}"/>
    <cellStyle name="20% - Accent5 7 3 2 5" xfId="19052" xr:uid="{00000000-0005-0000-0000-0000BD210000}"/>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3" xfId="23459" xr:uid="{00000000-0005-0000-0000-0000C2210000}"/>
    <cellStyle name="20% - Accent5 7 3 3 3" xfId="11975" xr:uid="{00000000-0005-0000-0000-0000C3210000}"/>
    <cellStyle name="20% - Accent5 7 3 3 4" xfId="19930" xr:uid="{00000000-0005-0000-0000-0000C4210000}"/>
    <cellStyle name="20% - Accent5 7 3 4" xfId="5770" xr:uid="{00000000-0005-0000-0000-0000C5210000}"/>
    <cellStyle name="20% - Accent5 7 3 4 2" xfId="13754" xr:uid="{00000000-0005-0000-0000-0000C6210000}"/>
    <cellStyle name="20% - Accent5 7 3 4 3" xfId="21702" xr:uid="{00000000-0005-0000-0000-0000C7210000}"/>
    <cellStyle name="20% - Accent5 7 3 5" xfId="9323" xr:uid="{00000000-0005-0000-0000-0000C8210000}"/>
    <cellStyle name="20% - Accent5 7 3 5 2" xfId="17281" xr:uid="{00000000-0005-0000-0000-0000C9210000}"/>
    <cellStyle name="20% - Accent5 7 3 5 3" xfId="25225" xr:uid="{00000000-0005-0000-0000-0000CA210000}"/>
    <cellStyle name="20% - Accent5 7 3 6" xfId="10219" xr:uid="{00000000-0005-0000-0000-0000CB210000}"/>
    <cellStyle name="20% - Accent5 7 3 7" xfId="18174" xr:uid="{00000000-0005-0000-0000-0000CC210000}"/>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3" xfId="24872" xr:uid="{00000000-0005-0000-0000-0000D3210000}"/>
    <cellStyle name="20% - Accent5 7 4 2 2 3" xfId="13388" xr:uid="{00000000-0005-0000-0000-0000D4210000}"/>
    <cellStyle name="20% - Accent5 7 4 2 2 4" xfId="21343" xr:uid="{00000000-0005-0000-0000-0000D5210000}"/>
    <cellStyle name="20% - Accent5 7 4 2 3" xfId="7196" xr:uid="{00000000-0005-0000-0000-0000D6210000}"/>
    <cellStyle name="20% - Accent5 7 4 2 3 2" xfId="15168" xr:uid="{00000000-0005-0000-0000-0000D7210000}"/>
    <cellStyle name="20% - Accent5 7 4 2 3 3" xfId="23115" xr:uid="{00000000-0005-0000-0000-0000D8210000}"/>
    <cellStyle name="20% - Accent5 7 4 2 4" xfId="11632" xr:uid="{00000000-0005-0000-0000-0000D9210000}"/>
    <cellStyle name="20% - Accent5 7 4 2 5" xfId="19587" xr:uid="{00000000-0005-0000-0000-0000DA210000}"/>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3" xfId="23994" xr:uid="{00000000-0005-0000-0000-0000DF210000}"/>
    <cellStyle name="20% - Accent5 7 4 3 3" xfId="12510" xr:uid="{00000000-0005-0000-0000-0000E0210000}"/>
    <cellStyle name="20% - Accent5 7 4 3 4" xfId="20465" xr:uid="{00000000-0005-0000-0000-0000E1210000}"/>
    <cellStyle name="20% - Accent5 7 4 4" xfId="6315" xr:uid="{00000000-0005-0000-0000-0000E2210000}"/>
    <cellStyle name="20% - Accent5 7 4 4 2" xfId="14290" xr:uid="{00000000-0005-0000-0000-0000E3210000}"/>
    <cellStyle name="20% - Accent5 7 4 4 3" xfId="22237" xr:uid="{00000000-0005-0000-0000-0000E4210000}"/>
    <cellStyle name="20% - Accent5 7 4 5" xfId="9858" xr:uid="{00000000-0005-0000-0000-0000E5210000}"/>
    <cellStyle name="20% - Accent5 7 4 5 2" xfId="17816" xr:uid="{00000000-0005-0000-0000-0000E6210000}"/>
    <cellStyle name="20% - Accent5 7 4 5 3" xfId="25760" xr:uid="{00000000-0005-0000-0000-0000E7210000}"/>
    <cellStyle name="20% - Accent5 7 4 6" xfId="10754" xr:uid="{00000000-0005-0000-0000-0000E8210000}"/>
    <cellStyle name="20% - Accent5 7 4 7" xfId="18709" xr:uid="{00000000-0005-0000-0000-0000E9210000}"/>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3" xfId="24334" xr:uid="{00000000-0005-0000-0000-0000EF210000}"/>
    <cellStyle name="20% - Accent5 7 5 2 3" xfId="12850" xr:uid="{00000000-0005-0000-0000-0000F0210000}"/>
    <cellStyle name="20% - Accent5 7 5 2 4" xfId="20805" xr:uid="{00000000-0005-0000-0000-0000F1210000}"/>
    <cellStyle name="20% - Accent5 7 5 3" xfId="6658" xr:uid="{00000000-0005-0000-0000-0000F2210000}"/>
    <cellStyle name="20% - Accent5 7 5 3 2" xfId="14630" xr:uid="{00000000-0005-0000-0000-0000F3210000}"/>
    <cellStyle name="20% - Accent5 7 5 3 3" xfId="22577" xr:uid="{00000000-0005-0000-0000-0000F4210000}"/>
    <cellStyle name="20% - Accent5 7 5 4" xfId="11094" xr:uid="{00000000-0005-0000-0000-0000F5210000}"/>
    <cellStyle name="20% - Accent5 7 5 5" xfId="19049" xr:uid="{00000000-0005-0000-0000-0000F6210000}"/>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3" xfId="23456" xr:uid="{00000000-0005-0000-0000-0000FB210000}"/>
    <cellStyle name="20% - Accent5 7 6 3" xfId="11972" xr:uid="{00000000-0005-0000-0000-0000FC210000}"/>
    <cellStyle name="20% - Accent5 7 6 4" xfId="19927" xr:uid="{00000000-0005-0000-0000-0000FD210000}"/>
    <cellStyle name="20% - Accent5 7 7" xfId="5767" xr:uid="{00000000-0005-0000-0000-0000FE210000}"/>
    <cellStyle name="20% - Accent5 7 7 2" xfId="13751" xr:uid="{00000000-0005-0000-0000-0000FF210000}"/>
    <cellStyle name="20% - Accent5 7 7 3" xfId="21699" xr:uid="{00000000-0005-0000-0000-000000220000}"/>
    <cellStyle name="20% - Accent5 7 8" xfId="9320" xr:uid="{00000000-0005-0000-0000-000001220000}"/>
    <cellStyle name="20% - Accent5 7 8 2" xfId="17278" xr:uid="{00000000-0005-0000-0000-000002220000}"/>
    <cellStyle name="20% - Accent5 7 8 3" xfId="25222" xr:uid="{00000000-0005-0000-0000-000003220000}"/>
    <cellStyle name="20% - Accent5 7 9" xfId="10216" xr:uid="{00000000-0005-0000-0000-000004220000}"/>
    <cellStyle name="20% - Accent5 7_Exh G" xfId="2531" xr:uid="{00000000-0005-0000-0000-000005220000}"/>
    <cellStyle name="20% - Accent5 8" xfId="272" xr:uid="{00000000-0005-0000-0000-000006220000}"/>
    <cellStyle name="20% - Accent5 8 10" xfId="18175" xr:uid="{00000000-0005-0000-0000-000007220000}"/>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3" xfId="24340" xr:uid="{00000000-0005-0000-0000-00000E220000}"/>
    <cellStyle name="20% - Accent5 8 2 2 2 2 3" xfId="12856" xr:uid="{00000000-0005-0000-0000-00000F220000}"/>
    <cellStyle name="20% - Accent5 8 2 2 2 2 4" xfId="20811" xr:uid="{00000000-0005-0000-0000-000010220000}"/>
    <cellStyle name="20% - Accent5 8 2 2 2 3" xfId="6664" xr:uid="{00000000-0005-0000-0000-000011220000}"/>
    <cellStyle name="20% - Accent5 8 2 2 2 3 2" xfId="14636" xr:uid="{00000000-0005-0000-0000-000012220000}"/>
    <cellStyle name="20% - Accent5 8 2 2 2 3 3" xfId="22583" xr:uid="{00000000-0005-0000-0000-000013220000}"/>
    <cellStyle name="20% - Accent5 8 2 2 2 4" xfId="11100" xr:uid="{00000000-0005-0000-0000-000014220000}"/>
    <cellStyle name="20% - Accent5 8 2 2 2 5" xfId="19055" xr:uid="{00000000-0005-0000-0000-000015220000}"/>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3" xfId="23462" xr:uid="{00000000-0005-0000-0000-00001A220000}"/>
    <cellStyle name="20% - Accent5 8 2 2 3 3" xfId="11978" xr:uid="{00000000-0005-0000-0000-00001B220000}"/>
    <cellStyle name="20% - Accent5 8 2 2 3 4" xfId="19933" xr:uid="{00000000-0005-0000-0000-00001C220000}"/>
    <cellStyle name="20% - Accent5 8 2 2 4" xfId="5773" xr:uid="{00000000-0005-0000-0000-00001D220000}"/>
    <cellStyle name="20% - Accent5 8 2 2 4 2" xfId="13757" xr:uid="{00000000-0005-0000-0000-00001E220000}"/>
    <cellStyle name="20% - Accent5 8 2 2 4 3" xfId="21705" xr:uid="{00000000-0005-0000-0000-00001F220000}"/>
    <cellStyle name="20% - Accent5 8 2 2 5" xfId="9326" xr:uid="{00000000-0005-0000-0000-000020220000}"/>
    <cellStyle name="20% - Accent5 8 2 2 5 2" xfId="17284" xr:uid="{00000000-0005-0000-0000-000021220000}"/>
    <cellStyle name="20% - Accent5 8 2 2 5 3" xfId="25228" xr:uid="{00000000-0005-0000-0000-000022220000}"/>
    <cellStyle name="20% - Accent5 8 2 2 6" xfId="10222" xr:uid="{00000000-0005-0000-0000-000023220000}"/>
    <cellStyle name="20% - Accent5 8 2 2 7" xfId="18177" xr:uid="{00000000-0005-0000-0000-000024220000}"/>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3" xfId="24339" xr:uid="{00000000-0005-0000-0000-00002A220000}"/>
    <cellStyle name="20% - Accent5 8 2 3 2 3" xfId="12855" xr:uid="{00000000-0005-0000-0000-00002B220000}"/>
    <cellStyle name="20% - Accent5 8 2 3 2 4" xfId="20810" xr:uid="{00000000-0005-0000-0000-00002C220000}"/>
    <cellStyle name="20% - Accent5 8 2 3 3" xfId="6663" xr:uid="{00000000-0005-0000-0000-00002D220000}"/>
    <cellStyle name="20% - Accent5 8 2 3 3 2" xfId="14635" xr:uid="{00000000-0005-0000-0000-00002E220000}"/>
    <cellStyle name="20% - Accent5 8 2 3 3 3" xfId="22582" xr:uid="{00000000-0005-0000-0000-00002F220000}"/>
    <cellStyle name="20% - Accent5 8 2 3 4" xfId="11099" xr:uid="{00000000-0005-0000-0000-000030220000}"/>
    <cellStyle name="20% - Accent5 8 2 3 5" xfId="19054" xr:uid="{00000000-0005-0000-0000-000031220000}"/>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3" xfId="23461" xr:uid="{00000000-0005-0000-0000-000036220000}"/>
    <cellStyle name="20% - Accent5 8 2 4 3" xfId="11977" xr:uid="{00000000-0005-0000-0000-000037220000}"/>
    <cellStyle name="20% - Accent5 8 2 4 4" xfId="19932" xr:uid="{00000000-0005-0000-0000-000038220000}"/>
    <cellStyle name="20% - Accent5 8 2 5" xfId="5772" xr:uid="{00000000-0005-0000-0000-000039220000}"/>
    <cellStyle name="20% - Accent5 8 2 5 2" xfId="13756" xr:uid="{00000000-0005-0000-0000-00003A220000}"/>
    <cellStyle name="20% - Accent5 8 2 5 3" xfId="21704" xr:uid="{00000000-0005-0000-0000-00003B220000}"/>
    <cellStyle name="20% - Accent5 8 2 6" xfId="9325" xr:uid="{00000000-0005-0000-0000-00003C220000}"/>
    <cellStyle name="20% - Accent5 8 2 6 2" xfId="17283" xr:uid="{00000000-0005-0000-0000-00003D220000}"/>
    <cellStyle name="20% - Accent5 8 2 6 3" xfId="25227" xr:uid="{00000000-0005-0000-0000-00003E220000}"/>
    <cellStyle name="20% - Accent5 8 2 7" xfId="10221" xr:uid="{00000000-0005-0000-0000-00003F220000}"/>
    <cellStyle name="20% - Accent5 8 2 8" xfId="18176" xr:uid="{00000000-0005-0000-0000-000040220000}"/>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3" xfId="24341" xr:uid="{00000000-0005-0000-0000-000047220000}"/>
    <cellStyle name="20% - Accent5 8 3 2 2 3" xfId="12857" xr:uid="{00000000-0005-0000-0000-000048220000}"/>
    <cellStyle name="20% - Accent5 8 3 2 2 4" xfId="20812" xr:uid="{00000000-0005-0000-0000-000049220000}"/>
    <cellStyle name="20% - Accent5 8 3 2 3" xfId="6665" xr:uid="{00000000-0005-0000-0000-00004A220000}"/>
    <cellStyle name="20% - Accent5 8 3 2 3 2" xfId="14637" xr:uid="{00000000-0005-0000-0000-00004B220000}"/>
    <cellStyle name="20% - Accent5 8 3 2 3 3" xfId="22584" xr:uid="{00000000-0005-0000-0000-00004C220000}"/>
    <cellStyle name="20% - Accent5 8 3 2 4" xfId="11101" xr:uid="{00000000-0005-0000-0000-00004D220000}"/>
    <cellStyle name="20% - Accent5 8 3 2 5" xfId="19056" xr:uid="{00000000-0005-0000-0000-00004E220000}"/>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3" xfId="23463" xr:uid="{00000000-0005-0000-0000-000053220000}"/>
    <cellStyle name="20% - Accent5 8 3 3 3" xfId="11979" xr:uid="{00000000-0005-0000-0000-000054220000}"/>
    <cellStyle name="20% - Accent5 8 3 3 4" xfId="19934" xr:uid="{00000000-0005-0000-0000-000055220000}"/>
    <cellStyle name="20% - Accent5 8 3 4" xfId="5774" xr:uid="{00000000-0005-0000-0000-000056220000}"/>
    <cellStyle name="20% - Accent5 8 3 4 2" xfId="13758" xr:uid="{00000000-0005-0000-0000-000057220000}"/>
    <cellStyle name="20% - Accent5 8 3 4 3" xfId="21706" xr:uid="{00000000-0005-0000-0000-000058220000}"/>
    <cellStyle name="20% - Accent5 8 3 5" xfId="9327" xr:uid="{00000000-0005-0000-0000-000059220000}"/>
    <cellStyle name="20% - Accent5 8 3 5 2" xfId="17285" xr:uid="{00000000-0005-0000-0000-00005A220000}"/>
    <cellStyle name="20% - Accent5 8 3 5 3" xfId="25229" xr:uid="{00000000-0005-0000-0000-00005B220000}"/>
    <cellStyle name="20% - Accent5 8 3 6" xfId="10223" xr:uid="{00000000-0005-0000-0000-00005C220000}"/>
    <cellStyle name="20% - Accent5 8 3 7" xfId="18178" xr:uid="{00000000-0005-0000-0000-00005D220000}"/>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3" xfId="24873" xr:uid="{00000000-0005-0000-0000-000064220000}"/>
    <cellStyle name="20% - Accent5 8 4 2 2 3" xfId="13389" xr:uid="{00000000-0005-0000-0000-000065220000}"/>
    <cellStyle name="20% - Accent5 8 4 2 2 4" xfId="21344" xr:uid="{00000000-0005-0000-0000-000066220000}"/>
    <cellStyle name="20% - Accent5 8 4 2 3" xfId="7197" xr:uid="{00000000-0005-0000-0000-000067220000}"/>
    <cellStyle name="20% - Accent5 8 4 2 3 2" xfId="15169" xr:uid="{00000000-0005-0000-0000-000068220000}"/>
    <cellStyle name="20% - Accent5 8 4 2 3 3" xfId="23116" xr:uid="{00000000-0005-0000-0000-000069220000}"/>
    <cellStyle name="20% - Accent5 8 4 2 4" xfId="11633" xr:uid="{00000000-0005-0000-0000-00006A220000}"/>
    <cellStyle name="20% - Accent5 8 4 2 5" xfId="19588" xr:uid="{00000000-0005-0000-0000-00006B220000}"/>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3" xfId="23995" xr:uid="{00000000-0005-0000-0000-000070220000}"/>
    <cellStyle name="20% - Accent5 8 4 3 3" xfId="12511" xr:uid="{00000000-0005-0000-0000-000071220000}"/>
    <cellStyle name="20% - Accent5 8 4 3 4" xfId="20466" xr:uid="{00000000-0005-0000-0000-000072220000}"/>
    <cellStyle name="20% - Accent5 8 4 4" xfId="6316" xr:uid="{00000000-0005-0000-0000-000073220000}"/>
    <cellStyle name="20% - Accent5 8 4 4 2" xfId="14291" xr:uid="{00000000-0005-0000-0000-000074220000}"/>
    <cellStyle name="20% - Accent5 8 4 4 3" xfId="22238" xr:uid="{00000000-0005-0000-0000-000075220000}"/>
    <cellStyle name="20% - Accent5 8 4 5" xfId="9859" xr:uid="{00000000-0005-0000-0000-000076220000}"/>
    <cellStyle name="20% - Accent5 8 4 5 2" xfId="17817" xr:uid="{00000000-0005-0000-0000-000077220000}"/>
    <cellStyle name="20% - Accent5 8 4 5 3" xfId="25761" xr:uid="{00000000-0005-0000-0000-000078220000}"/>
    <cellStyle name="20% - Accent5 8 4 6" xfId="10755" xr:uid="{00000000-0005-0000-0000-000079220000}"/>
    <cellStyle name="20% - Accent5 8 4 7" xfId="18710" xr:uid="{00000000-0005-0000-0000-00007A220000}"/>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3" xfId="24338" xr:uid="{00000000-0005-0000-0000-000080220000}"/>
    <cellStyle name="20% - Accent5 8 5 2 3" xfId="12854" xr:uid="{00000000-0005-0000-0000-000081220000}"/>
    <cellStyle name="20% - Accent5 8 5 2 4" xfId="20809" xr:uid="{00000000-0005-0000-0000-000082220000}"/>
    <cellStyle name="20% - Accent5 8 5 3" xfId="6662" xr:uid="{00000000-0005-0000-0000-000083220000}"/>
    <cellStyle name="20% - Accent5 8 5 3 2" xfId="14634" xr:uid="{00000000-0005-0000-0000-000084220000}"/>
    <cellStyle name="20% - Accent5 8 5 3 3" xfId="22581" xr:uid="{00000000-0005-0000-0000-000085220000}"/>
    <cellStyle name="20% - Accent5 8 5 4" xfId="11098" xr:uid="{00000000-0005-0000-0000-000086220000}"/>
    <cellStyle name="20% - Accent5 8 5 5" xfId="19053" xr:uid="{00000000-0005-0000-0000-00008722000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3" xfId="23460" xr:uid="{00000000-0005-0000-0000-00008C220000}"/>
    <cellStyle name="20% - Accent5 8 6 3" xfId="11976" xr:uid="{00000000-0005-0000-0000-00008D220000}"/>
    <cellStyle name="20% - Accent5 8 6 4" xfId="19931" xr:uid="{00000000-0005-0000-0000-00008E220000}"/>
    <cellStyle name="20% - Accent5 8 7" xfId="5771" xr:uid="{00000000-0005-0000-0000-00008F220000}"/>
    <cellStyle name="20% - Accent5 8 7 2" xfId="13755" xr:uid="{00000000-0005-0000-0000-000090220000}"/>
    <cellStyle name="20% - Accent5 8 7 3" xfId="21703" xr:uid="{00000000-0005-0000-0000-000091220000}"/>
    <cellStyle name="20% - Accent5 8 8" xfId="9324" xr:uid="{00000000-0005-0000-0000-000092220000}"/>
    <cellStyle name="20% - Accent5 8 8 2" xfId="17282" xr:uid="{00000000-0005-0000-0000-000093220000}"/>
    <cellStyle name="20% - Accent5 8 8 3" xfId="25226" xr:uid="{00000000-0005-0000-0000-000094220000}"/>
    <cellStyle name="20% - Accent5 8 9" xfId="10220" xr:uid="{00000000-0005-0000-0000-000095220000}"/>
    <cellStyle name="20% - Accent5 8_Exh G" xfId="2541" xr:uid="{00000000-0005-0000-0000-000096220000}"/>
    <cellStyle name="20% - Accent5 9" xfId="276" xr:uid="{00000000-0005-0000-0000-000097220000}"/>
    <cellStyle name="20% - Accent5 9 10" xfId="18179" xr:uid="{00000000-0005-0000-0000-000098220000}"/>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3" xfId="24344" xr:uid="{00000000-0005-0000-0000-00009F220000}"/>
    <cellStyle name="20% - Accent5 9 2 2 2 2 3" xfId="12860" xr:uid="{00000000-0005-0000-0000-0000A0220000}"/>
    <cellStyle name="20% - Accent5 9 2 2 2 2 4" xfId="20815" xr:uid="{00000000-0005-0000-0000-0000A1220000}"/>
    <cellStyle name="20% - Accent5 9 2 2 2 3" xfId="6668" xr:uid="{00000000-0005-0000-0000-0000A2220000}"/>
    <cellStyle name="20% - Accent5 9 2 2 2 3 2" xfId="14640" xr:uid="{00000000-0005-0000-0000-0000A3220000}"/>
    <cellStyle name="20% - Accent5 9 2 2 2 3 3" xfId="22587" xr:uid="{00000000-0005-0000-0000-0000A4220000}"/>
    <cellStyle name="20% - Accent5 9 2 2 2 4" xfId="11104" xr:uid="{00000000-0005-0000-0000-0000A5220000}"/>
    <cellStyle name="20% - Accent5 9 2 2 2 5" xfId="19059" xr:uid="{00000000-0005-0000-0000-0000A6220000}"/>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3" xfId="23466" xr:uid="{00000000-0005-0000-0000-0000AB220000}"/>
    <cellStyle name="20% - Accent5 9 2 2 3 3" xfId="11982" xr:uid="{00000000-0005-0000-0000-0000AC220000}"/>
    <cellStyle name="20% - Accent5 9 2 2 3 4" xfId="19937" xr:uid="{00000000-0005-0000-0000-0000AD220000}"/>
    <cellStyle name="20% - Accent5 9 2 2 4" xfId="5777" xr:uid="{00000000-0005-0000-0000-0000AE220000}"/>
    <cellStyle name="20% - Accent5 9 2 2 4 2" xfId="13761" xr:uid="{00000000-0005-0000-0000-0000AF220000}"/>
    <cellStyle name="20% - Accent5 9 2 2 4 3" xfId="21709" xr:uid="{00000000-0005-0000-0000-0000B0220000}"/>
    <cellStyle name="20% - Accent5 9 2 2 5" xfId="9330" xr:uid="{00000000-0005-0000-0000-0000B1220000}"/>
    <cellStyle name="20% - Accent5 9 2 2 5 2" xfId="17288" xr:uid="{00000000-0005-0000-0000-0000B2220000}"/>
    <cellStyle name="20% - Accent5 9 2 2 5 3" xfId="25232" xr:uid="{00000000-0005-0000-0000-0000B3220000}"/>
    <cellStyle name="20% - Accent5 9 2 2 6" xfId="10226" xr:uid="{00000000-0005-0000-0000-0000B4220000}"/>
    <cellStyle name="20% - Accent5 9 2 2 7" xfId="18181" xr:uid="{00000000-0005-0000-0000-0000B5220000}"/>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3" xfId="24343" xr:uid="{00000000-0005-0000-0000-0000BB220000}"/>
    <cellStyle name="20% - Accent5 9 2 3 2 3" xfId="12859" xr:uid="{00000000-0005-0000-0000-0000BC220000}"/>
    <cellStyle name="20% - Accent5 9 2 3 2 4" xfId="20814" xr:uid="{00000000-0005-0000-0000-0000BD220000}"/>
    <cellStyle name="20% - Accent5 9 2 3 3" xfId="6667" xr:uid="{00000000-0005-0000-0000-0000BE220000}"/>
    <cellStyle name="20% - Accent5 9 2 3 3 2" xfId="14639" xr:uid="{00000000-0005-0000-0000-0000BF220000}"/>
    <cellStyle name="20% - Accent5 9 2 3 3 3" xfId="22586" xr:uid="{00000000-0005-0000-0000-0000C0220000}"/>
    <cellStyle name="20% - Accent5 9 2 3 4" xfId="11103" xr:uid="{00000000-0005-0000-0000-0000C1220000}"/>
    <cellStyle name="20% - Accent5 9 2 3 5" xfId="19058" xr:uid="{00000000-0005-0000-0000-0000C2220000}"/>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3" xfId="23465" xr:uid="{00000000-0005-0000-0000-0000C7220000}"/>
    <cellStyle name="20% - Accent5 9 2 4 3" xfId="11981" xr:uid="{00000000-0005-0000-0000-0000C8220000}"/>
    <cellStyle name="20% - Accent5 9 2 4 4" xfId="19936" xr:uid="{00000000-0005-0000-0000-0000C9220000}"/>
    <cellStyle name="20% - Accent5 9 2 5" xfId="5776" xr:uid="{00000000-0005-0000-0000-0000CA220000}"/>
    <cellStyle name="20% - Accent5 9 2 5 2" xfId="13760" xr:uid="{00000000-0005-0000-0000-0000CB220000}"/>
    <cellStyle name="20% - Accent5 9 2 5 3" xfId="21708" xr:uid="{00000000-0005-0000-0000-0000CC220000}"/>
    <cellStyle name="20% - Accent5 9 2 6" xfId="9329" xr:uid="{00000000-0005-0000-0000-0000CD220000}"/>
    <cellStyle name="20% - Accent5 9 2 6 2" xfId="17287" xr:uid="{00000000-0005-0000-0000-0000CE220000}"/>
    <cellStyle name="20% - Accent5 9 2 6 3" xfId="25231" xr:uid="{00000000-0005-0000-0000-0000CF220000}"/>
    <cellStyle name="20% - Accent5 9 2 7" xfId="10225" xr:uid="{00000000-0005-0000-0000-0000D0220000}"/>
    <cellStyle name="20% - Accent5 9 2 8" xfId="18180" xr:uid="{00000000-0005-0000-0000-0000D1220000}"/>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3" xfId="24345" xr:uid="{00000000-0005-0000-0000-0000D8220000}"/>
    <cellStyle name="20% - Accent5 9 3 2 2 3" xfId="12861" xr:uid="{00000000-0005-0000-0000-0000D9220000}"/>
    <cellStyle name="20% - Accent5 9 3 2 2 4" xfId="20816" xr:uid="{00000000-0005-0000-0000-0000DA220000}"/>
    <cellStyle name="20% - Accent5 9 3 2 3" xfId="6669" xr:uid="{00000000-0005-0000-0000-0000DB220000}"/>
    <cellStyle name="20% - Accent5 9 3 2 3 2" xfId="14641" xr:uid="{00000000-0005-0000-0000-0000DC220000}"/>
    <cellStyle name="20% - Accent5 9 3 2 3 3" xfId="22588" xr:uid="{00000000-0005-0000-0000-0000DD220000}"/>
    <cellStyle name="20% - Accent5 9 3 2 4" xfId="11105" xr:uid="{00000000-0005-0000-0000-0000DE220000}"/>
    <cellStyle name="20% - Accent5 9 3 2 5" xfId="19060" xr:uid="{00000000-0005-0000-0000-0000DF220000}"/>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3" xfId="23467" xr:uid="{00000000-0005-0000-0000-0000E4220000}"/>
    <cellStyle name="20% - Accent5 9 3 3 3" xfId="11983" xr:uid="{00000000-0005-0000-0000-0000E5220000}"/>
    <cellStyle name="20% - Accent5 9 3 3 4" xfId="19938" xr:uid="{00000000-0005-0000-0000-0000E6220000}"/>
    <cellStyle name="20% - Accent5 9 3 4" xfId="5778" xr:uid="{00000000-0005-0000-0000-0000E7220000}"/>
    <cellStyle name="20% - Accent5 9 3 4 2" xfId="13762" xr:uid="{00000000-0005-0000-0000-0000E8220000}"/>
    <cellStyle name="20% - Accent5 9 3 4 3" xfId="21710" xr:uid="{00000000-0005-0000-0000-0000E9220000}"/>
    <cellStyle name="20% - Accent5 9 3 5" xfId="9331" xr:uid="{00000000-0005-0000-0000-0000EA220000}"/>
    <cellStyle name="20% - Accent5 9 3 5 2" xfId="17289" xr:uid="{00000000-0005-0000-0000-0000EB220000}"/>
    <cellStyle name="20% - Accent5 9 3 5 3" xfId="25233" xr:uid="{00000000-0005-0000-0000-0000EC220000}"/>
    <cellStyle name="20% - Accent5 9 3 6" xfId="10227" xr:uid="{00000000-0005-0000-0000-0000ED220000}"/>
    <cellStyle name="20% - Accent5 9 3 7" xfId="18182" xr:uid="{00000000-0005-0000-0000-0000EE220000}"/>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3" xfId="24874" xr:uid="{00000000-0005-0000-0000-0000F5220000}"/>
    <cellStyle name="20% - Accent5 9 4 2 2 3" xfId="13390" xr:uid="{00000000-0005-0000-0000-0000F6220000}"/>
    <cellStyle name="20% - Accent5 9 4 2 2 4" xfId="21345" xr:uid="{00000000-0005-0000-0000-0000F7220000}"/>
    <cellStyle name="20% - Accent5 9 4 2 3" xfId="7198" xr:uid="{00000000-0005-0000-0000-0000F8220000}"/>
    <cellStyle name="20% - Accent5 9 4 2 3 2" xfId="15170" xr:uid="{00000000-0005-0000-0000-0000F9220000}"/>
    <cellStyle name="20% - Accent5 9 4 2 3 3" xfId="23117" xr:uid="{00000000-0005-0000-0000-0000FA220000}"/>
    <cellStyle name="20% - Accent5 9 4 2 4" xfId="11634" xr:uid="{00000000-0005-0000-0000-0000FB220000}"/>
    <cellStyle name="20% - Accent5 9 4 2 5" xfId="19589" xr:uid="{00000000-0005-0000-0000-0000FC220000}"/>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3" xfId="23996" xr:uid="{00000000-0005-0000-0000-000001230000}"/>
    <cellStyle name="20% - Accent5 9 4 3 3" xfId="12512" xr:uid="{00000000-0005-0000-0000-000002230000}"/>
    <cellStyle name="20% - Accent5 9 4 3 4" xfId="20467" xr:uid="{00000000-0005-0000-0000-000003230000}"/>
    <cellStyle name="20% - Accent5 9 4 4" xfId="6317" xr:uid="{00000000-0005-0000-0000-000004230000}"/>
    <cellStyle name="20% - Accent5 9 4 4 2" xfId="14292" xr:uid="{00000000-0005-0000-0000-000005230000}"/>
    <cellStyle name="20% - Accent5 9 4 4 3" xfId="22239" xr:uid="{00000000-0005-0000-0000-000006230000}"/>
    <cellStyle name="20% - Accent5 9 4 5" xfId="9860" xr:uid="{00000000-0005-0000-0000-000007230000}"/>
    <cellStyle name="20% - Accent5 9 4 5 2" xfId="17818" xr:uid="{00000000-0005-0000-0000-000008230000}"/>
    <cellStyle name="20% - Accent5 9 4 5 3" xfId="25762" xr:uid="{00000000-0005-0000-0000-000009230000}"/>
    <cellStyle name="20% - Accent5 9 4 6" xfId="10756" xr:uid="{00000000-0005-0000-0000-00000A230000}"/>
    <cellStyle name="20% - Accent5 9 4 7" xfId="18711" xr:uid="{00000000-0005-0000-0000-00000B230000}"/>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3" xfId="24342" xr:uid="{00000000-0005-0000-0000-000011230000}"/>
    <cellStyle name="20% - Accent5 9 5 2 3" xfId="12858" xr:uid="{00000000-0005-0000-0000-000012230000}"/>
    <cellStyle name="20% - Accent5 9 5 2 4" xfId="20813" xr:uid="{00000000-0005-0000-0000-000013230000}"/>
    <cellStyle name="20% - Accent5 9 5 3" xfId="6666" xr:uid="{00000000-0005-0000-0000-000014230000}"/>
    <cellStyle name="20% - Accent5 9 5 3 2" xfId="14638" xr:uid="{00000000-0005-0000-0000-000015230000}"/>
    <cellStyle name="20% - Accent5 9 5 3 3" xfId="22585" xr:uid="{00000000-0005-0000-0000-000016230000}"/>
    <cellStyle name="20% - Accent5 9 5 4" xfId="11102" xr:uid="{00000000-0005-0000-0000-000017230000}"/>
    <cellStyle name="20% - Accent5 9 5 5" xfId="19057" xr:uid="{00000000-0005-0000-0000-000018230000}"/>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3" xfId="23464" xr:uid="{00000000-0005-0000-0000-00001D230000}"/>
    <cellStyle name="20% - Accent5 9 6 3" xfId="11980" xr:uid="{00000000-0005-0000-0000-00001E230000}"/>
    <cellStyle name="20% - Accent5 9 6 4" xfId="19935" xr:uid="{00000000-0005-0000-0000-00001F230000}"/>
    <cellStyle name="20% - Accent5 9 7" xfId="5775" xr:uid="{00000000-0005-0000-0000-000020230000}"/>
    <cellStyle name="20% - Accent5 9 7 2" xfId="13759" xr:uid="{00000000-0005-0000-0000-000021230000}"/>
    <cellStyle name="20% - Accent5 9 7 3" xfId="21707" xr:uid="{00000000-0005-0000-0000-000022230000}"/>
    <cellStyle name="20% - Accent5 9 8" xfId="9328" xr:uid="{00000000-0005-0000-0000-000023230000}"/>
    <cellStyle name="20% - Accent5 9 8 2" xfId="17286" xr:uid="{00000000-0005-0000-0000-000024230000}"/>
    <cellStyle name="20% - Accent5 9 8 3" xfId="25230" xr:uid="{00000000-0005-0000-0000-000025230000}"/>
    <cellStyle name="20% - Accent5 9 9" xfId="10224" xr:uid="{00000000-0005-0000-0000-000026230000}"/>
    <cellStyle name="20% - Accent5 9_Exh G" xfId="2551" xr:uid="{00000000-0005-0000-0000-000027230000}"/>
    <cellStyle name="20% - Accent6 10" xfId="280" xr:uid="{00000000-0005-0000-0000-000028230000}"/>
    <cellStyle name="20% - Accent6 10 10" xfId="18183" xr:uid="{00000000-0005-0000-0000-000029230000}"/>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3" xfId="24348" xr:uid="{00000000-0005-0000-0000-000030230000}"/>
    <cellStyle name="20% - Accent6 10 2 2 2 2 3" xfId="12864" xr:uid="{00000000-0005-0000-0000-000031230000}"/>
    <cellStyle name="20% - Accent6 10 2 2 2 2 4" xfId="20819" xr:uid="{00000000-0005-0000-0000-000032230000}"/>
    <cellStyle name="20% - Accent6 10 2 2 2 3" xfId="6672" xr:uid="{00000000-0005-0000-0000-000033230000}"/>
    <cellStyle name="20% - Accent6 10 2 2 2 3 2" xfId="14644" xr:uid="{00000000-0005-0000-0000-000034230000}"/>
    <cellStyle name="20% - Accent6 10 2 2 2 3 3" xfId="22591" xr:uid="{00000000-0005-0000-0000-000035230000}"/>
    <cellStyle name="20% - Accent6 10 2 2 2 4" xfId="11108" xr:uid="{00000000-0005-0000-0000-000036230000}"/>
    <cellStyle name="20% - Accent6 10 2 2 2 5" xfId="19063" xr:uid="{00000000-0005-0000-0000-000037230000}"/>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3" xfId="23470" xr:uid="{00000000-0005-0000-0000-00003C230000}"/>
    <cellStyle name="20% - Accent6 10 2 2 3 3" xfId="11986" xr:uid="{00000000-0005-0000-0000-00003D230000}"/>
    <cellStyle name="20% - Accent6 10 2 2 3 4" xfId="19941" xr:uid="{00000000-0005-0000-0000-00003E230000}"/>
    <cellStyle name="20% - Accent6 10 2 2 4" xfId="5781" xr:uid="{00000000-0005-0000-0000-00003F230000}"/>
    <cellStyle name="20% - Accent6 10 2 2 4 2" xfId="13765" xr:uid="{00000000-0005-0000-0000-000040230000}"/>
    <cellStyle name="20% - Accent6 10 2 2 4 3" xfId="21713" xr:uid="{00000000-0005-0000-0000-000041230000}"/>
    <cellStyle name="20% - Accent6 10 2 2 5" xfId="9334" xr:uid="{00000000-0005-0000-0000-000042230000}"/>
    <cellStyle name="20% - Accent6 10 2 2 5 2" xfId="17292" xr:uid="{00000000-0005-0000-0000-000043230000}"/>
    <cellStyle name="20% - Accent6 10 2 2 5 3" xfId="25236" xr:uid="{00000000-0005-0000-0000-000044230000}"/>
    <cellStyle name="20% - Accent6 10 2 2 6" xfId="10230" xr:uid="{00000000-0005-0000-0000-000045230000}"/>
    <cellStyle name="20% - Accent6 10 2 2 7" xfId="18185" xr:uid="{00000000-0005-0000-0000-000046230000}"/>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3" xfId="24347" xr:uid="{00000000-0005-0000-0000-00004C230000}"/>
    <cellStyle name="20% - Accent6 10 2 3 2 3" xfId="12863" xr:uid="{00000000-0005-0000-0000-00004D230000}"/>
    <cellStyle name="20% - Accent6 10 2 3 2 4" xfId="20818" xr:uid="{00000000-0005-0000-0000-00004E230000}"/>
    <cellStyle name="20% - Accent6 10 2 3 3" xfId="6671" xr:uid="{00000000-0005-0000-0000-00004F230000}"/>
    <cellStyle name="20% - Accent6 10 2 3 3 2" xfId="14643" xr:uid="{00000000-0005-0000-0000-000050230000}"/>
    <cellStyle name="20% - Accent6 10 2 3 3 3" xfId="22590" xr:uid="{00000000-0005-0000-0000-000051230000}"/>
    <cellStyle name="20% - Accent6 10 2 3 4" xfId="11107" xr:uid="{00000000-0005-0000-0000-000052230000}"/>
    <cellStyle name="20% - Accent6 10 2 3 5" xfId="19062" xr:uid="{00000000-0005-0000-0000-000053230000}"/>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3" xfId="23469" xr:uid="{00000000-0005-0000-0000-000058230000}"/>
    <cellStyle name="20% - Accent6 10 2 4 3" xfId="11985" xr:uid="{00000000-0005-0000-0000-000059230000}"/>
    <cellStyle name="20% - Accent6 10 2 4 4" xfId="19940" xr:uid="{00000000-0005-0000-0000-00005A230000}"/>
    <cellStyle name="20% - Accent6 10 2 5" xfId="5780" xr:uid="{00000000-0005-0000-0000-00005B230000}"/>
    <cellStyle name="20% - Accent6 10 2 5 2" xfId="13764" xr:uid="{00000000-0005-0000-0000-00005C230000}"/>
    <cellStyle name="20% - Accent6 10 2 5 3" xfId="21712" xr:uid="{00000000-0005-0000-0000-00005D230000}"/>
    <cellStyle name="20% - Accent6 10 2 6" xfId="9333" xr:uid="{00000000-0005-0000-0000-00005E230000}"/>
    <cellStyle name="20% - Accent6 10 2 6 2" xfId="17291" xr:uid="{00000000-0005-0000-0000-00005F230000}"/>
    <cellStyle name="20% - Accent6 10 2 6 3" xfId="25235" xr:uid="{00000000-0005-0000-0000-000060230000}"/>
    <cellStyle name="20% - Accent6 10 2 7" xfId="10229" xr:uid="{00000000-0005-0000-0000-000061230000}"/>
    <cellStyle name="20% - Accent6 10 2 8" xfId="18184" xr:uid="{00000000-0005-0000-0000-000062230000}"/>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3" xfId="24349" xr:uid="{00000000-0005-0000-0000-000069230000}"/>
    <cellStyle name="20% - Accent6 10 3 2 2 3" xfId="12865" xr:uid="{00000000-0005-0000-0000-00006A230000}"/>
    <cellStyle name="20% - Accent6 10 3 2 2 4" xfId="20820" xr:uid="{00000000-0005-0000-0000-00006B230000}"/>
    <cellStyle name="20% - Accent6 10 3 2 3" xfId="6673" xr:uid="{00000000-0005-0000-0000-00006C230000}"/>
    <cellStyle name="20% - Accent6 10 3 2 3 2" xfId="14645" xr:uid="{00000000-0005-0000-0000-00006D230000}"/>
    <cellStyle name="20% - Accent6 10 3 2 3 3" xfId="22592" xr:uid="{00000000-0005-0000-0000-00006E230000}"/>
    <cellStyle name="20% - Accent6 10 3 2 4" xfId="11109" xr:uid="{00000000-0005-0000-0000-00006F230000}"/>
    <cellStyle name="20% - Accent6 10 3 2 5" xfId="19064" xr:uid="{00000000-0005-0000-0000-000070230000}"/>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3" xfId="23471" xr:uid="{00000000-0005-0000-0000-000075230000}"/>
    <cellStyle name="20% - Accent6 10 3 3 3" xfId="11987" xr:uid="{00000000-0005-0000-0000-000076230000}"/>
    <cellStyle name="20% - Accent6 10 3 3 4" xfId="19942" xr:uid="{00000000-0005-0000-0000-000077230000}"/>
    <cellStyle name="20% - Accent6 10 3 4" xfId="5782" xr:uid="{00000000-0005-0000-0000-000078230000}"/>
    <cellStyle name="20% - Accent6 10 3 4 2" xfId="13766" xr:uid="{00000000-0005-0000-0000-000079230000}"/>
    <cellStyle name="20% - Accent6 10 3 4 3" xfId="21714" xr:uid="{00000000-0005-0000-0000-00007A230000}"/>
    <cellStyle name="20% - Accent6 10 3 5" xfId="9335" xr:uid="{00000000-0005-0000-0000-00007B230000}"/>
    <cellStyle name="20% - Accent6 10 3 5 2" xfId="17293" xr:uid="{00000000-0005-0000-0000-00007C230000}"/>
    <cellStyle name="20% - Accent6 10 3 5 3" xfId="25237" xr:uid="{00000000-0005-0000-0000-00007D230000}"/>
    <cellStyle name="20% - Accent6 10 3 6" xfId="10231" xr:uid="{00000000-0005-0000-0000-00007E230000}"/>
    <cellStyle name="20% - Accent6 10 3 7" xfId="18186" xr:uid="{00000000-0005-0000-0000-00007F230000}"/>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3" xfId="24346" xr:uid="{00000000-0005-0000-0000-000086230000}"/>
    <cellStyle name="20% - Accent6 10 5 2 3" xfId="12862" xr:uid="{00000000-0005-0000-0000-000087230000}"/>
    <cellStyle name="20% - Accent6 10 5 2 4" xfId="20817" xr:uid="{00000000-0005-0000-0000-000088230000}"/>
    <cellStyle name="20% - Accent6 10 5 3" xfId="6670" xr:uid="{00000000-0005-0000-0000-000089230000}"/>
    <cellStyle name="20% - Accent6 10 5 3 2" xfId="14642" xr:uid="{00000000-0005-0000-0000-00008A230000}"/>
    <cellStyle name="20% - Accent6 10 5 3 3" xfId="22589" xr:uid="{00000000-0005-0000-0000-00008B230000}"/>
    <cellStyle name="20% - Accent6 10 5 4" xfId="11106" xr:uid="{00000000-0005-0000-0000-00008C230000}"/>
    <cellStyle name="20% - Accent6 10 5 5" xfId="19061" xr:uid="{00000000-0005-0000-0000-00008D230000}"/>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3" xfId="23468" xr:uid="{00000000-0005-0000-0000-000092230000}"/>
    <cellStyle name="20% - Accent6 10 6 3" xfId="11984" xr:uid="{00000000-0005-0000-0000-000093230000}"/>
    <cellStyle name="20% - Accent6 10 6 4" xfId="19939" xr:uid="{00000000-0005-0000-0000-000094230000}"/>
    <cellStyle name="20% - Accent6 10 7" xfId="5779" xr:uid="{00000000-0005-0000-0000-000095230000}"/>
    <cellStyle name="20% - Accent6 10 7 2" xfId="13763" xr:uid="{00000000-0005-0000-0000-000096230000}"/>
    <cellStyle name="20% - Accent6 10 7 3" xfId="21711" xr:uid="{00000000-0005-0000-0000-000097230000}"/>
    <cellStyle name="20% - Accent6 10 8" xfId="9332" xr:uid="{00000000-0005-0000-0000-000098230000}"/>
    <cellStyle name="20% - Accent6 10 8 2" xfId="17290" xr:uid="{00000000-0005-0000-0000-000099230000}"/>
    <cellStyle name="20% - Accent6 10 8 3" xfId="25234" xr:uid="{00000000-0005-0000-0000-00009A230000}"/>
    <cellStyle name="20% - Accent6 10 9" xfId="10228" xr:uid="{00000000-0005-0000-0000-00009B230000}"/>
    <cellStyle name="20% - Accent6 10_Exh G" xfId="2561" xr:uid="{00000000-0005-0000-0000-00009C230000}"/>
    <cellStyle name="20% - Accent6 11" xfId="284" xr:uid="{00000000-0005-0000-0000-00009D230000}"/>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3" xfId="24352" xr:uid="{00000000-0005-0000-0000-0000A4230000}"/>
    <cellStyle name="20% - Accent6 11 2 2 2 2 3" xfId="12868" xr:uid="{00000000-0005-0000-0000-0000A5230000}"/>
    <cellStyle name="20% - Accent6 11 2 2 2 2 4" xfId="20823" xr:uid="{00000000-0005-0000-0000-0000A6230000}"/>
    <cellStyle name="20% - Accent6 11 2 2 2 3" xfId="6676" xr:uid="{00000000-0005-0000-0000-0000A7230000}"/>
    <cellStyle name="20% - Accent6 11 2 2 2 3 2" xfId="14648" xr:uid="{00000000-0005-0000-0000-0000A8230000}"/>
    <cellStyle name="20% - Accent6 11 2 2 2 3 3" xfId="22595" xr:uid="{00000000-0005-0000-0000-0000A9230000}"/>
    <cellStyle name="20% - Accent6 11 2 2 2 4" xfId="11112" xr:uid="{00000000-0005-0000-0000-0000AA230000}"/>
    <cellStyle name="20% - Accent6 11 2 2 2 5" xfId="19067" xr:uid="{00000000-0005-0000-0000-0000AB230000}"/>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3" xfId="23474" xr:uid="{00000000-0005-0000-0000-0000B0230000}"/>
    <cellStyle name="20% - Accent6 11 2 2 3 3" xfId="11990" xr:uid="{00000000-0005-0000-0000-0000B1230000}"/>
    <cellStyle name="20% - Accent6 11 2 2 3 4" xfId="19945" xr:uid="{00000000-0005-0000-0000-0000B2230000}"/>
    <cellStyle name="20% - Accent6 11 2 2 4" xfId="5785" xr:uid="{00000000-0005-0000-0000-0000B3230000}"/>
    <cellStyle name="20% - Accent6 11 2 2 4 2" xfId="13769" xr:uid="{00000000-0005-0000-0000-0000B4230000}"/>
    <cellStyle name="20% - Accent6 11 2 2 4 3" xfId="21717" xr:uid="{00000000-0005-0000-0000-0000B5230000}"/>
    <cellStyle name="20% - Accent6 11 2 2 5" xfId="9338" xr:uid="{00000000-0005-0000-0000-0000B6230000}"/>
    <cellStyle name="20% - Accent6 11 2 2 5 2" xfId="17296" xr:uid="{00000000-0005-0000-0000-0000B7230000}"/>
    <cellStyle name="20% - Accent6 11 2 2 5 3" xfId="25240" xr:uid="{00000000-0005-0000-0000-0000B8230000}"/>
    <cellStyle name="20% - Accent6 11 2 2 6" xfId="10234" xr:uid="{00000000-0005-0000-0000-0000B9230000}"/>
    <cellStyle name="20% - Accent6 11 2 2 7" xfId="18189" xr:uid="{00000000-0005-0000-0000-0000BA230000}"/>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3" xfId="24351" xr:uid="{00000000-0005-0000-0000-0000C0230000}"/>
    <cellStyle name="20% - Accent6 11 2 3 2 3" xfId="12867" xr:uid="{00000000-0005-0000-0000-0000C1230000}"/>
    <cellStyle name="20% - Accent6 11 2 3 2 4" xfId="20822" xr:uid="{00000000-0005-0000-0000-0000C2230000}"/>
    <cellStyle name="20% - Accent6 11 2 3 3" xfId="6675" xr:uid="{00000000-0005-0000-0000-0000C3230000}"/>
    <cellStyle name="20% - Accent6 11 2 3 3 2" xfId="14647" xr:uid="{00000000-0005-0000-0000-0000C4230000}"/>
    <cellStyle name="20% - Accent6 11 2 3 3 3" xfId="22594" xr:uid="{00000000-0005-0000-0000-0000C5230000}"/>
    <cellStyle name="20% - Accent6 11 2 3 4" xfId="11111" xr:uid="{00000000-0005-0000-0000-0000C6230000}"/>
    <cellStyle name="20% - Accent6 11 2 3 5" xfId="19066" xr:uid="{00000000-0005-0000-0000-0000C7230000}"/>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3" xfId="23473" xr:uid="{00000000-0005-0000-0000-0000CC230000}"/>
    <cellStyle name="20% - Accent6 11 2 4 3" xfId="11989" xr:uid="{00000000-0005-0000-0000-0000CD230000}"/>
    <cellStyle name="20% - Accent6 11 2 4 4" xfId="19944" xr:uid="{00000000-0005-0000-0000-0000CE230000}"/>
    <cellStyle name="20% - Accent6 11 2 5" xfId="5784" xr:uid="{00000000-0005-0000-0000-0000CF230000}"/>
    <cellStyle name="20% - Accent6 11 2 5 2" xfId="13768" xr:uid="{00000000-0005-0000-0000-0000D0230000}"/>
    <cellStyle name="20% - Accent6 11 2 5 3" xfId="21716" xr:uid="{00000000-0005-0000-0000-0000D1230000}"/>
    <cellStyle name="20% - Accent6 11 2 6" xfId="9337" xr:uid="{00000000-0005-0000-0000-0000D2230000}"/>
    <cellStyle name="20% - Accent6 11 2 6 2" xfId="17295" xr:uid="{00000000-0005-0000-0000-0000D3230000}"/>
    <cellStyle name="20% - Accent6 11 2 6 3" xfId="25239" xr:uid="{00000000-0005-0000-0000-0000D4230000}"/>
    <cellStyle name="20% - Accent6 11 2 7" xfId="10233" xr:uid="{00000000-0005-0000-0000-0000D5230000}"/>
    <cellStyle name="20% - Accent6 11 2 8" xfId="18188" xr:uid="{00000000-0005-0000-0000-0000D6230000}"/>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3" xfId="24353" xr:uid="{00000000-0005-0000-0000-0000DD230000}"/>
    <cellStyle name="20% - Accent6 11 3 2 2 3" xfId="12869" xr:uid="{00000000-0005-0000-0000-0000DE230000}"/>
    <cellStyle name="20% - Accent6 11 3 2 2 4" xfId="20824" xr:uid="{00000000-0005-0000-0000-0000DF230000}"/>
    <cellStyle name="20% - Accent6 11 3 2 3" xfId="6677" xr:uid="{00000000-0005-0000-0000-0000E0230000}"/>
    <cellStyle name="20% - Accent6 11 3 2 3 2" xfId="14649" xr:uid="{00000000-0005-0000-0000-0000E1230000}"/>
    <cellStyle name="20% - Accent6 11 3 2 3 3" xfId="22596" xr:uid="{00000000-0005-0000-0000-0000E2230000}"/>
    <cellStyle name="20% - Accent6 11 3 2 4" xfId="11113" xr:uid="{00000000-0005-0000-0000-0000E3230000}"/>
    <cellStyle name="20% - Accent6 11 3 2 5" xfId="19068" xr:uid="{00000000-0005-0000-0000-0000E4230000}"/>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3" xfId="23475" xr:uid="{00000000-0005-0000-0000-0000E9230000}"/>
    <cellStyle name="20% - Accent6 11 3 3 3" xfId="11991" xr:uid="{00000000-0005-0000-0000-0000EA230000}"/>
    <cellStyle name="20% - Accent6 11 3 3 4" xfId="19946" xr:uid="{00000000-0005-0000-0000-0000EB230000}"/>
    <cellStyle name="20% - Accent6 11 3 4" xfId="5786" xr:uid="{00000000-0005-0000-0000-0000EC230000}"/>
    <cellStyle name="20% - Accent6 11 3 4 2" xfId="13770" xr:uid="{00000000-0005-0000-0000-0000ED230000}"/>
    <cellStyle name="20% - Accent6 11 3 4 3" xfId="21718" xr:uid="{00000000-0005-0000-0000-0000EE230000}"/>
    <cellStyle name="20% - Accent6 11 3 5" xfId="9339" xr:uid="{00000000-0005-0000-0000-0000EF230000}"/>
    <cellStyle name="20% - Accent6 11 3 5 2" xfId="17297" xr:uid="{00000000-0005-0000-0000-0000F0230000}"/>
    <cellStyle name="20% - Accent6 11 3 5 3" xfId="25241" xr:uid="{00000000-0005-0000-0000-0000F1230000}"/>
    <cellStyle name="20% - Accent6 11 3 6" xfId="10235" xr:uid="{00000000-0005-0000-0000-0000F2230000}"/>
    <cellStyle name="20% - Accent6 11 3 7" xfId="18190" xr:uid="{00000000-0005-0000-0000-0000F3230000}"/>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3" xfId="24350" xr:uid="{00000000-0005-0000-0000-0000F9230000}"/>
    <cellStyle name="20% - Accent6 11 4 2 3" xfId="12866" xr:uid="{00000000-0005-0000-0000-0000FA230000}"/>
    <cellStyle name="20% - Accent6 11 4 2 4" xfId="20821" xr:uid="{00000000-0005-0000-0000-0000FB230000}"/>
    <cellStyle name="20% - Accent6 11 4 3" xfId="6674" xr:uid="{00000000-0005-0000-0000-0000FC230000}"/>
    <cellStyle name="20% - Accent6 11 4 3 2" xfId="14646" xr:uid="{00000000-0005-0000-0000-0000FD230000}"/>
    <cellStyle name="20% - Accent6 11 4 3 3" xfId="22593" xr:uid="{00000000-0005-0000-0000-0000FE230000}"/>
    <cellStyle name="20% - Accent6 11 4 4" xfId="11110" xr:uid="{00000000-0005-0000-0000-0000FF230000}"/>
    <cellStyle name="20% - Accent6 11 4 5" xfId="19065" xr:uid="{00000000-0005-0000-0000-000000240000}"/>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3" xfId="23472" xr:uid="{00000000-0005-0000-0000-000005240000}"/>
    <cellStyle name="20% - Accent6 11 5 3" xfId="11988" xr:uid="{00000000-0005-0000-0000-000006240000}"/>
    <cellStyle name="20% - Accent6 11 5 4" xfId="19943" xr:uid="{00000000-0005-0000-0000-000007240000}"/>
    <cellStyle name="20% - Accent6 11 6" xfId="5783" xr:uid="{00000000-0005-0000-0000-000008240000}"/>
    <cellStyle name="20% - Accent6 11 6 2" xfId="13767" xr:uid="{00000000-0005-0000-0000-000009240000}"/>
    <cellStyle name="20% - Accent6 11 6 3" xfId="21715" xr:uid="{00000000-0005-0000-0000-00000A240000}"/>
    <cellStyle name="20% - Accent6 11 7" xfId="9336" xr:uid="{00000000-0005-0000-0000-00000B240000}"/>
    <cellStyle name="20% - Accent6 11 7 2" xfId="17294" xr:uid="{00000000-0005-0000-0000-00000C240000}"/>
    <cellStyle name="20% - Accent6 11 7 3" xfId="25238" xr:uid="{00000000-0005-0000-0000-00000D240000}"/>
    <cellStyle name="20% - Accent6 11 8" xfId="10232" xr:uid="{00000000-0005-0000-0000-00000E240000}"/>
    <cellStyle name="20% - Accent6 11 9" xfId="18187" xr:uid="{00000000-0005-0000-0000-00000F240000}"/>
    <cellStyle name="20% - Accent6 11_Exh G" xfId="2569" xr:uid="{00000000-0005-0000-0000-000010240000}"/>
    <cellStyle name="20% - Accent6 12" xfId="288" xr:uid="{00000000-0005-0000-0000-000011240000}"/>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3" xfId="24356" xr:uid="{00000000-0005-0000-0000-000018240000}"/>
    <cellStyle name="20% - Accent6 12 2 2 2 2 3" xfId="12872" xr:uid="{00000000-0005-0000-0000-000019240000}"/>
    <cellStyle name="20% - Accent6 12 2 2 2 2 4" xfId="20827" xr:uid="{00000000-0005-0000-0000-00001A240000}"/>
    <cellStyle name="20% - Accent6 12 2 2 2 3" xfId="6680" xr:uid="{00000000-0005-0000-0000-00001B240000}"/>
    <cellStyle name="20% - Accent6 12 2 2 2 3 2" xfId="14652" xr:uid="{00000000-0005-0000-0000-00001C240000}"/>
    <cellStyle name="20% - Accent6 12 2 2 2 3 3" xfId="22599" xr:uid="{00000000-0005-0000-0000-00001D240000}"/>
    <cellStyle name="20% - Accent6 12 2 2 2 4" xfId="11116" xr:uid="{00000000-0005-0000-0000-00001E240000}"/>
    <cellStyle name="20% - Accent6 12 2 2 2 5" xfId="19071" xr:uid="{00000000-0005-0000-0000-00001F240000}"/>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3" xfId="23478" xr:uid="{00000000-0005-0000-0000-000024240000}"/>
    <cellStyle name="20% - Accent6 12 2 2 3 3" xfId="11994" xr:uid="{00000000-0005-0000-0000-000025240000}"/>
    <cellStyle name="20% - Accent6 12 2 2 3 4" xfId="19949" xr:uid="{00000000-0005-0000-0000-000026240000}"/>
    <cellStyle name="20% - Accent6 12 2 2 4" xfId="5789" xr:uid="{00000000-0005-0000-0000-000027240000}"/>
    <cellStyle name="20% - Accent6 12 2 2 4 2" xfId="13773" xr:uid="{00000000-0005-0000-0000-000028240000}"/>
    <cellStyle name="20% - Accent6 12 2 2 4 3" xfId="21721" xr:uid="{00000000-0005-0000-0000-000029240000}"/>
    <cellStyle name="20% - Accent6 12 2 2 5" xfId="9342" xr:uid="{00000000-0005-0000-0000-00002A240000}"/>
    <cellStyle name="20% - Accent6 12 2 2 5 2" xfId="17300" xr:uid="{00000000-0005-0000-0000-00002B240000}"/>
    <cellStyle name="20% - Accent6 12 2 2 5 3" xfId="25244" xr:uid="{00000000-0005-0000-0000-00002C240000}"/>
    <cellStyle name="20% - Accent6 12 2 2 6" xfId="10238" xr:uid="{00000000-0005-0000-0000-00002D240000}"/>
    <cellStyle name="20% - Accent6 12 2 2 7" xfId="18193" xr:uid="{00000000-0005-0000-0000-00002E240000}"/>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3" xfId="24355" xr:uid="{00000000-0005-0000-0000-000034240000}"/>
    <cellStyle name="20% - Accent6 12 2 3 2 3" xfId="12871" xr:uid="{00000000-0005-0000-0000-000035240000}"/>
    <cellStyle name="20% - Accent6 12 2 3 2 4" xfId="20826" xr:uid="{00000000-0005-0000-0000-000036240000}"/>
    <cellStyle name="20% - Accent6 12 2 3 3" xfId="6679" xr:uid="{00000000-0005-0000-0000-000037240000}"/>
    <cellStyle name="20% - Accent6 12 2 3 3 2" xfId="14651" xr:uid="{00000000-0005-0000-0000-000038240000}"/>
    <cellStyle name="20% - Accent6 12 2 3 3 3" xfId="22598" xr:uid="{00000000-0005-0000-0000-000039240000}"/>
    <cellStyle name="20% - Accent6 12 2 3 4" xfId="11115" xr:uid="{00000000-0005-0000-0000-00003A240000}"/>
    <cellStyle name="20% - Accent6 12 2 3 5" xfId="19070" xr:uid="{00000000-0005-0000-0000-00003B240000}"/>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3" xfId="23477" xr:uid="{00000000-0005-0000-0000-000040240000}"/>
    <cellStyle name="20% - Accent6 12 2 4 3" xfId="11993" xr:uid="{00000000-0005-0000-0000-000041240000}"/>
    <cellStyle name="20% - Accent6 12 2 4 4" xfId="19948" xr:uid="{00000000-0005-0000-0000-000042240000}"/>
    <cellStyle name="20% - Accent6 12 2 5" xfId="5788" xr:uid="{00000000-0005-0000-0000-000043240000}"/>
    <cellStyle name="20% - Accent6 12 2 5 2" xfId="13772" xr:uid="{00000000-0005-0000-0000-000044240000}"/>
    <cellStyle name="20% - Accent6 12 2 5 3" xfId="21720" xr:uid="{00000000-0005-0000-0000-000045240000}"/>
    <cellStyle name="20% - Accent6 12 2 6" xfId="9341" xr:uid="{00000000-0005-0000-0000-000046240000}"/>
    <cellStyle name="20% - Accent6 12 2 6 2" xfId="17299" xr:uid="{00000000-0005-0000-0000-000047240000}"/>
    <cellStyle name="20% - Accent6 12 2 6 3" xfId="25243" xr:uid="{00000000-0005-0000-0000-000048240000}"/>
    <cellStyle name="20% - Accent6 12 2 7" xfId="10237" xr:uid="{00000000-0005-0000-0000-000049240000}"/>
    <cellStyle name="20% - Accent6 12 2 8" xfId="18192" xr:uid="{00000000-0005-0000-0000-00004A240000}"/>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3" xfId="24357" xr:uid="{00000000-0005-0000-0000-000051240000}"/>
    <cellStyle name="20% - Accent6 12 3 2 2 3" xfId="12873" xr:uid="{00000000-0005-0000-0000-000052240000}"/>
    <cellStyle name="20% - Accent6 12 3 2 2 4" xfId="20828" xr:uid="{00000000-0005-0000-0000-000053240000}"/>
    <cellStyle name="20% - Accent6 12 3 2 3" xfId="6681" xr:uid="{00000000-0005-0000-0000-000054240000}"/>
    <cellStyle name="20% - Accent6 12 3 2 3 2" xfId="14653" xr:uid="{00000000-0005-0000-0000-000055240000}"/>
    <cellStyle name="20% - Accent6 12 3 2 3 3" xfId="22600" xr:uid="{00000000-0005-0000-0000-000056240000}"/>
    <cellStyle name="20% - Accent6 12 3 2 4" xfId="11117" xr:uid="{00000000-0005-0000-0000-000057240000}"/>
    <cellStyle name="20% - Accent6 12 3 2 5" xfId="19072" xr:uid="{00000000-0005-0000-0000-000058240000}"/>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3" xfId="23479" xr:uid="{00000000-0005-0000-0000-00005D240000}"/>
    <cellStyle name="20% - Accent6 12 3 3 3" xfId="11995" xr:uid="{00000000-0005-0000-0000-00005E240000}"/>
    <cellStyle name="20% - Accent6 12 3 3 4" xfId="19950" xr:uid="{00000000-0005-0000-0000-00005F240000}"/>
    <cellStyle name="20% - Accent6 12 3 4" xfId="5790" xr:uid="{00000000-0005-0000-0000-000060240000}"/>
    <cellStyle name="20% - Accent6 12 3 4 2" xfId="13774" xr:uid="{00000000-0005-0000-0000-000061240000}"/>
    <cellStyle name="20% - Accent6 12 3 4 3" xfId="21722" xr:uid="{00000000-0005-0000-0000-000062240000}"/>
    <cellStyle name="20% - Accent6 12 3 5" xfId="9343" xr:uid="{00000000-0005-0000-0000-000063240000}"/>
    <cellStyle name="20% - Accent6 12 3 5 2" xfId="17301" xr:uid="{00000000-0005-0000-0000-000064240000}"/>
    <cellStyle name="20% - Accent6 12 3 5 3" xfId="25245" xr:uid="{00000000-0005-0000-0000-000065240000}"/>
    <cellStyle name="20% - Accent6 12 3 6" xfId="10239" xr:uid="{00000000-0005-0000-0000-000066240000}"/>
    <cellStyle name="20% - Accent6 12 3 7" xfId="18194" xr:uid="{00000000-0005-0000-0000-000067240000}"/>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3" xfId="24354" xr:uid="{00000000-0005-0000-0000-00006D240000}"/>
    <cellStyle name="20% - Accent6 12 4 2 3" xfId="12870" xr:uid="{00000000-0005-0000-0000-00006E240000}"/>
    <cellStyle name="20% - Accent6 12 4 2 4" xfId="20825" xr:uid="{00000000-0005-0000-0000-00006F240000}"/>
    <cellStyle name="20% - Accent6 12 4 3" xfId="6678" xr:uid="{00000000-0005-0000-0000-000070240000}"/>
    <cellStyle name="20% - Accent6 12 4 3 2" xfId="14650" xr:uid="{00000000-0005-0000-0000-000071240000}"/>
    <cellStyle name="20% - Accent6 12 4 3 3" xfId="22597" xr:uid="{00000000-0005-0000-0000-000072240000}"/>
    <cellStyle name="20% - Accent6 12 4 4" xfId="11114" xr:uid="{00000000-0005-0000-0000-000073240000}"/>
    <cellStyle name="20% - Accent6 12 4 5" xfId="19069" xr:uid="{00000000-0005-0000-0000-000074240000}"/>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3" xfId="23476" xr:uid="{00000000-0005-0000-0000-000079240000}"/>
    <cellStyle name="20% - Accent6 12 5 3" xfId="11992" xr:uid="{00000000-0005-0000-0000-00007A240000}"/>
    <cellStyle name="20% - Accent6 12 5 4" xfId="19947" xr:uid="{00000000-0005-0000-0000-00007B240000}"/>
    <cellStyle name="20% - Accent6 12 6" xfId="5787" xr:uid="{00000000-0005-0000-0000-00007C240000}"/>
    <cellStyle name="20% - Accent6 12 6 2" xfId="13771" xr:uid="{00000000-0005-0000-0000-00007D240000}"/>
    <cellStyle name="20% - Accent6 12 6 3" xfId="21719" xr:uid="{00000000-0005-0000-0000-00007E240000}"/>
    <cellStyle name="20% - Accent6 12 7" xfId="9340" xr:uid="{00000000-0005-0000-0000-00007F240000}"/>
    <cellStyle name="20% - Accent6 12 7 2" xfId="17298" xr:uid="{00000000-0005-0000-0000-000080240000}"/>
    <cellStyle name="20% - Accent6 12 7 3" xfId="25242" xr:uid="{00000000-0005-0000-0000-000081240000}"/>
    <cellStyle name="20% - Accent6 12 8" xfId="10236" xr:uid="{00000000-0005-0000-0000-000082240000}"/>
    <cellStyle name="20% - Accent6 12 9" xfId="18191" xr:uid="{00000000-0005-0000-0000-000083240000}"/>
    <cellStyle name="20% - Accent6 12_Exh G" xfId="2577" xr:uid="{00000000-0005-0000-0000-000084240000}"/>
    <cellStyle name="20% - Accent6 13" xfId="292" xr:uid="{00000000-0005-0000-0000-000085240000}"/>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3" xfId="24360" xr:uid="{00000000-0005-0000-0000-00008C240000}"/>
    <cellStyle name="20% - Accent6 13 2 2 2 2 3" xfId="12876" xr:uid="{00000000-0005-0000-0000-00008D240000}"/>
    <cellStyle name="20% - Accent6 13 2 2 2 2 4" xfId="20831" xr:uid="{00000000-0005-0000-0000-00008E240000}"/>
    <cellStyle name="20% - Accent6 13 2 2 2 3" xfId="6684" xr:uid="{00000000-0005-0000-0000-00008F240000}"/>
    <cellStyle name="20% - Accent6 13 2 2 2 3 2" xfId="14656" xr:uid="{00000000-0005-0000-0000-000090240000}"/>
    <cellStyle name="20% - Accent6 13 2 2 2 3 3" xfId="22603" xr:uid="{00000000-0005-0000-0000-000091240000}"/>
    <cellStyle name="20% - Accent6 13 2 2 2 4" xfId="11120" xr:uid="{00000000-0005-0000-0000-000092240000}"/>
    <cellStyle name="20% - Accent6 13 2 2 2 5" xfId="19075" xr:uid="{00000000-0005-0000-0000-000093240000}"/>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3" xfId="23482" xr:uid="{00000000-0005-0000-0000-000098240000}"/>
    <cellStyle name="20% - Accent6 13 2 2 3 3" xfId="11998" xr:uid="{00000000-0005-0000-0000-000099240000}"/>
    <cellStyle name="20% - Accent6 13 2 2 3 4" xfId="19953" xr:uid="{00000000-0005-0000-0000-00009A240000}"/>
    <cellStyle name="20% - Accent6 13 2 2 4" xfId="5793" xr:uid="{00000000-0005-0000-0000-00009B240000}"/>
    <cellStyle name="20% - Accent6 13 2 2 4 2" xfId="13777" xr:uid="{00000000-0005-0000-0000-00009C240000}"/>
    <cellStyle name="20% - Accent6 13 2 2 4 3" xfId="21725" xr:uid="{00000000-0005-0000-0000-00009D240000}"/>
    <cellStyle name="20% - Accent6 13 2 2 5" xfId="9346" xr:uid="{00000000-0005-0000-0000-00009E240000}"/>
    <cellStyle name="20% - Accent6 13 2 2 5 2" xfId="17304" xr:uid="{00000000-0005-0000-0000-00009F240000}"/>
    <cellStyle name="20% - Accent6 13 2 2 5 3" xfId="25248" xr:uid="{00000000-0005-0000-0000-0000A0240000}"/>
    <cellStyle name="20% - Accent6 13 2 2 6" xfId="10242" xr:uid="{00000000-0005-0000-0000-0000A1240000}"/>
    <cellStyle name="20% - Accent6 13 2 2 7" xfId="18197" xr:uid="{00000000-0005-0000-0000-0000A2240000}"/>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3" xfId="24359" xr:uid="{00000000-0005-0000-0000-0000A8240000}"/>
    <cellStyle name="20% - Accent6 13 2 3 2 3" xfId="12875" xr:uid="{00000000-0005-0000-0000-0000A9240000}"/>
    <cellStyle name="20% - Accent6 13 2 3 2 4" xfId="20830" xr:uid="{00000000-0005-0000-0000-0000AA240000}"/>
    <cellStyle name="20% - Accent6 13 2 3 3" xfId="6683" xr:uid="{00000000-0005-0000-0000-0000AB240000}"/>
    <cellStyle name="20% - Accent6 13 2 3 3 2" xfId="14655" xr:uid="{00000000-0005-0000-0000-0000AC240000}"/>
    <cellStyle name="20% - Accent6 13 2 3 3 3" xfId="22602" xr:uid="{00000000-0005-0000-0000-0000AD240000}"/>
    <cellStyle name="20% - Accent6 13 2 3 4" xfId="11119" xr:uid="{00000000-0005-0000-0000-0000AE240000}"/>
    <cellStyle name="20% - Accent6 13 2 3 5" xfId="19074" xr:uid="{00000000-0005-0000-0000-0000AF240000}"/>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3" xfId="23481" xr:uid="{00000000-0005-0000-0000-0000B4240000}"/>
    <cellStyle name="20% - Accent6 13 2 4 3" xfId="11997" xr:uid="{00000000-0005-0000-0000-0000B5240000}"/>
    <cellStyle name="20% - Accent6 13 2 4 4" xfId="19952" xr:uid="{00000000-0005-0000-0000-0000B6240000}"/>
    <cellStyle name="20% - Accent6 13 2 5" xfId="5792" xr:uid="{00000000-0005-0000-0000-0000B7240000}"/>
    <cellStyle name="20% - Accent6 13 2 5 2" xfId="13776" xr:uid="{00000000-0005-0000-0000-0000B8240000}"/>
    <cellStyle name="20% - Accent6 13 2 5 3" xfId="21724" xr:uid="{00000000-0005-0000-0000-0000B9240000}"/>
    <cellStyle name="20% - Accent6 13 2 6" xfId="9345" xr:uid="{00000000-0005-0000-0000-0000BA240000}"/>
    <cellStyle name="20% - Accent6 13 2 6 2" xfId="17303" xr:uid="{00000000-0005-0000-0000-0000BB240000}"/>
    <cellStyle name="20% - Accent6 13 2 6 3" xfId="25247" xr:uid="{00000000-0005-0000-0000-0000BC240000}"/>
    <cellStyle name="20% - Accent6 13 2 7" xfId="10241" xr:uid="{00000000-0005-0000-0000-0000BD240000}"/>
    <cellStyle name="20% - Accent6 13 2 8" xfId="18196" xr:uid="{00000000-0005-0000-0000-0000BE240000}"/>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3" xfId="24361" xr:uid="{00000000-0005-0000-0000-0000C5240000}"/>
    <cellStyle name="20% - Accent6 13 3 2 2 3" xfId="12877" xr:uid="{00000000-0005-0000-0000-0000C6240000}"/>
    <cellStyle name="20% - Accent6 13 3 2 2 4" xfId="20832" xr:uid="{00000000-0005-0000-0000-0000C7240000}"/>
    <cellStyle name="20% - Accent6 13 3 2 3" xfId="6685" xr:uid="{00000000-0005-0000-0000-0000C8240000}"/>
    <cellStyle name="20% - Accent6 13 3 2 3 2" xfId="14657" xr:uid="{00000000-0005-0000-0000-0000C9240000}"/>
    <cellStyle name="20% - Accent6 13 3 2 3 3" xfId="22604" xr:uid="{00000000-0005-0000-0000-0000CA240000}"/>
    <cellStyle name="20% - Accent6 13 3 2 4" xfId="11121" xr:uid="{00000000-0005-0000-0000-0000CB240000}"/>
    <cellStyle name="20% - Accent6 13 3 2 5" xfId="19076" xr:uid="{00000000-0005-0000-0000-0000CC240000}"/>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3" xfId="23483" xr:uid="{00000000-0005-0000-0000-0000D1240000}"/>
    <cellStyle name="20% - Accent6 13 3 3 3" xfId="11999" xr:uid="{00000000-0005-0000-0000-0000D2240000}"/>
    <cellStyle name="20% - Accent6 13 3 3 4" xfId="19954" xr:uid="{00000000-0005-0000-0000-0000D3240000}"/>
    <cellStyle name="20% - Accent6 13 3 4" xfId="5794" xr:uid="{00000000-0005-0000-0000-0000D4240000}"/>
    <cellStyle name="20% - Accent6 13 3 4 2" xfId="13778" xr:uid="{00000000-0005-0000-0000-0000D5240000}"/>
    <cellStyle name="20% - Accent6 13 3 4 3" xfId="21726" xr:uid="{00000000-0005-0000-0000-0000D6240000}"/>
    <cellStyle name="20% - Accent6 13 3 5" xfId="9347" xr:uid="{00000000-0005-0000-0000-0000D7240000}"/>
    <cellStyle name="20% - Accent6 13 3 5 2" xfId="17305" xr:uid="{00000000-0005-0000-0000-0000D8240000}"/>
    <cellStyle name="20% - Accent6 13 3 5 3" xfId="25249" xr:uid="{00000000-0005-0000-0000-0000D9240000}"/>
    <cellStyle name="20% - Accent6 13 3 6" xfId="10243" xr:uid="{00000000-0005-0000-0000-0000DA240000}"/>
    <cellStyle name="20% - Accent6 13 3 7" xfId="18198" xr:uid="{00000000-0005-0000-0000-0000DB240000}"/>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3" xfId="24358" xr:uid="{00000000-0005-0000-0000-0000E1240000}"/>
    <cellStyle name="20% - Accent6 13 4 2 3" xfId="12874" xr:uid="{00000000-0005-0000-0000-0000E2240000}"/>
    <cellStyle name="20% - Accent6 13 4 2 4" xfId="20829" xr:uid="{00000000-0005-0000-0000-0000E3240000}"/>
    <cellStyle name="20% - Accent6 13 4 3" xfId="6682" xr:uid="{00000000-0005-0000-0000-0000E4240000}"/>
    <cellStyle name="20% - Accent6 13 4 3 2" xfId="14654" xr:uid="{00000000-0005-0000-0000-0000E5240000}"/>
    <cellStyle name="20% - Accent6 13 4 3 3" xfId="22601" xr:uid="{00000000-0005-0000-0000-0000E6240000}"/>
    <cellStyle name="20% - Accent6 13 4 4" xfId="11118" xr:uid="{00000000-0005-0000-0000-0000E7240000}"/>
    <cellStyle name="20% - Accent6 13 4 5" xfId="19073" xr:uid="{00000000-0005-0000-0000-0000E8240000}"/>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3" xfId="23480" xr:uid="{00000000-0005-0000-0000-0000ED240000}"/>
    <cellStyle name="20% - Accent6 13 5 3" xfId="11996" xr:uid="{00000000-0005-0000-0000-0000EE240000}"/>
    <cellStyle name="20% - Accent6 13 5 4" xfId="19951" xr:uid="{00000000-0005-0000-0000-0000EF240000}"/>
    <cellStyle name="20% - Accent6 13 6" xfId="5791" xr:uid="{00000000-0005-0000-0000-0000F0240000}"/>
    <cellStyle name="20% - Accent6 13 6 2" xfId="13775" xr:uid="{00000000-0005-0000-0000-0000F1240000}"/>
    <cellStyle name="20% - Accent6 13 6 3" xfId="21723" xr:uid="{00000000-0005-0000-0000-0000F2240000}"/>
    <cellStyle name="20% - Accent6 13 7" xfId="9344" xr:uid="{00000000-0005-0000-0000-0000F3240000}"/>
    <cellStyle name="20% - Accent6 13 7 2" xfId="17302" xr:uid="{00000000-0005-0000-0000-0000F4240000}"/>
    <cellStyle name="20% - Accent6 13 7 3" xfId="25246" xr:uid="{00000000-0005-0000-0000-0000F5240000}"/>
    <cellStyle name="20% - Accent6 13 8" xfId="10240" xr:uid="{00000000-0005-0000-0000-0000F6240000}"/>
    <cellStyle name="20% - Accent6 13 9" xfId="18195" xr:uid="{00000000-0005-0000-0000-0000F7240000}"/>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3" xfId="24363" xr:uid="{00000000-0005-0000-0000-0000FF240000}"/>
    <cellStyle name="20% - Accent6 14 2 2 2 3" xfId="12879" xr:uid="{00000000-0005-0000-0000-000000250000}"/>
    <cellStyle name="20% - Accent6 14 2 2 2 4" xfId="20834" xr:uid="{00000000-0005-0000-0000-000001250000}"/>
    <cellStyle name="20% - Accent6 14 2 2 3" xfId="6687" xr:uid="{00000000-0005-0000-0000-000002250000}"/>
    <cellStyle name="20% - Accent6 14 2 2 3 2" xfId="14659" xr:uid="{00000000-0005-0000-0000-000003250000}"/>
    <cellStyle name="20% - Accent6 14 2 2 3 3" xfId="22606" xr:uid="{00000000-0005-0000-0000-000004250000}"/>
    <cellStyle name="20% - Accent6 14 2 2 4" xfId="11123" xr:uid="{00000000-0005-0000-0000-000005250000}"/>
    <cellStyle name="20% - Accent6 14 2 2 5" xfId="19078" xr:uid="{00000000-0005-0000-0000-000006250000}"/>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3" xfId="23485" xr:uid="{00000000-0005-0000-0000-00000B250000}"/>
    <cellStyle name="20% - Accent6 14 2 3 3" xfId="12001" xr:uid="{00000000-0005-0000-0000-00000C250000}"/>
    <cellStyle name="20% - Accent6 14 2 3 4" xfId="19956" xr:uid="{00000000-0005-0000-0000-00000D250000}"/>
    <cellStyle name="20% - Accent6 14 2 4" xfId="5796" xr:uid="{00000000-0005-0000-0000-00000E250000}"/>
    <cellStyle name="20% - Accent6 14 2 4 2" xfId="13780" xr:uid="{00000000-0005-0000-0000-00000F250000}"/>
    <cellStyle name="20% - Accent6 14 2 4 3" xfId="21728" xr:uid="{00000000-0005-0000-0000-000010250000}"/>
    <cellStyle name="20% - Accent6 14 2 5" xfId="9349" xr:uid="{00000000-0005-0000-0000-000011250000}"/>
    <cellStyle name="20% - Accent6 14 2 5 2" xfId="17307" xr:uid="{00000000-0005-0000-0000-000012250000}"/>
    <cellStyle name="20% - Accent6 14 2 5 3" xfId="25251" xr:uid="{00000000-0005-0000-0000-000013250000}"/>
    <cellStyle name="20% - Accent6 14 2 6" xfId="10245" xr:uid="{00000000-0005-0000-0000-000014250000}"/>
    <cellStyle name="20% - Accent6 14 2 7" xfId="18200" xr:uid="{00000000-0005-0000-0000-000015250000}"/>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3" xfId="24362" xr:uid="{00000000-0005-0000-0000-00001B250000}"/>
    <cellStyle name="20% - Accent6 14 3 2 3" xfId="12878" xr:uid="{00000000-0005-0000-0000-00001C250000}"/>
    <cellStyle name="20% - Accent6 14 3 2 4" xfId="20833" xr:uid="{00000000-0005-0000-0000-00001D250000}"/>
    <cellStyle name="20% - Accent6 14 3 3" xfId="6686" xr:uid="{00000000-0005-0000-0000-00001E250000}"/>
    <cellStyle name="20% - Accent6 14 3 3 2" xfId="14658" xr:uid="{00000000-0005-0000-0000-00001F250000}"/>
    <cellStyle name="20% - Accent6 14 3 3 3" xfId="22605" xr:uid="{00000000-0005-0000-0000-000020250000}"/>
    <cellStyle name="20% - Accent6 14 3 4" xfId="11122" xr:uid="{00000000-0005-0000-0000-000021250000}"/>
    <cellStyle name="20% - Accent6 14 3 5" xfId="19077" xr:uid="{00000000-0005-0000-0000-000022250000}"/>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3" xfId="23484" xr:uid="{00000000-0005-0000-0000-000027250000}"/>
    <cellStyle name="20% - Accent6 14 4 3" xfId="12000" xr:uid="{00000000-0005-0000-0000-000028250000}"/>
    <cellStyle name="20% - Accent6 14 4 4" xfId="19955" xr:uid="{00000000-0005-0000-0000-000029250000}"/>
    <cellStyle name="20% - Accent6 14 5" xfId="5795" xr:uid="{00000000-0005-0000-0000-00002A250000}"/>
    <cellStyle name="20% - Accent6 14 5 2" xfId="13779" xr:uid="{00000000-0005-0000-0000-00002B250000}"/>
    <cellStyle name="20% - Accent6 14 5 3" xfId="21727" xr:uid="{00000000-0005-0000-0000-00002C250000}"/>
    <cellStyle name="20% - Accent6 14 6" xfId="9348" xr:uid="{00000000-0005-0000-0000-00002D250000}"/>
    <cellStyle name="20% - Accent6 14 6 2" xfId="17306" xr:uid="{00000000-0005-0000-0000-00002E250000}"/>
    <cellStyle name="20% - Accent6 14 6 3" xfId="25250" xr:uid="{00000000-0005-0000-0000-00002F250000}"/>
    <cellStyle name="20% - Accent6 14 7" xfId="10244" xr:uid="{00000000-0005-0000-0000-000030250000}"/>
    <cellStyle name="20% - Accent6 14 8" xfId="18199" xr:uid="{00000000-0005-0000-0000-000031250000}"/>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3" xfId="24364" xr:uid="{00000000-0005-0000-0000-000038250000}"/>
    <cellStyle name="20% - Accent6 15 2 2 3" xfId="12880" xr:uid="{00000000-0005-0000-0000-000039250000}"/>
    <cellStyle name="20% - Accent6 15 2 2 4" xfId="20835" xr:uid="{00000000-0005-0000-0000-00003A250000}"/>
    <cellStyle name="20% - Accent6 15 2 3" xfId="6688" xr:uid="{00000000-0005-0000-0000-00003B250000}"/>
    <cellStyle name="20% - Accent6 15 2 3 2" xfId="14660" xr:uid="{00000000-0005-0000-0000-00003C250000}"/>
    <cellStyle name="20% - Accent6 15 2 3 3" xfId="22607" xr:uid="{00000000-0005-0000-0000-00003D250000}"/>
    <cellStyle name="20% - Accent6 15 2 4" xfId="11124" xr:uid="{00000000-0005-0000-0000-00003E250000}"/>
    <cellStyle name="20% - Accent6 15 2 5" xfId="19079" xr:uid="{00000000-0005-0000-0000-00003F250000}"/>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3" xfId="23486" xr:uid="{00000000-0005-0000-0000-000044250000}"/>
    <cellStyle name="20% - Accent6 15 3 3" xfId="12002" xr:uid="{00000000-0005-0000-0000-000045250000}"/>
    <cellStyle name="20% - Accent6 15 3 4" xfId="19957" xr:uid="{00000000-0005-0000-0000-000046250000}"/>
    <cellStyle name="20% - Accent6 15 4" xfId="5797" xr:uid="{00000000-0005-0000-0000-000047250000}"/>
    <cellStyle name="20% - Accent6 15 4 2" xfId="13781" xr:uid="{00000000-0005-0000-0000-000048250000}"/>
    <cellStyle name="20% - Accent6 15 4 3" xfId="21729" xr:uid="{00000000-0005-0000-0000-000049250000}"/>
    <cellStyle name="20% - Accent6 15 5" xfId="9350" xr:uid="{00000000-0005-0000-0000-00004A250000}"/>
    <cellStyle name="20% - Accent6 15 5 2" xfId="17308" xr:uid="{00000000-0005-0000-0000-00004B250000}"/>
    <cellStyle name="20% - Accent6 15 5 3" xfId="25252" xr:uid="{00000000-0005-0000-0000-00004C250000}"/>
    <cellStyle name="20% - Accent6 15 6" xfId="10246" xr:uid="{00000000-0005-0000-0000-00004D250000}"/>
    <cellStyle name="20% - Accent6 15 7" xfId="18201" xr:uid="{00000000-0005-0000-0000-00004E250000}"/>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3" xfId="24816" xr:uid="{00000000-0005-0000-0000-000055250000}"/>
    <cellStyle name="20% - Accent6 16 2 2 3" xfId="13332" xr:uid="{00000000-0005-0000-0000-000056250000}"/>
    <cellStyle name="20% - Accent6 16 2 2 4" xfId="21287" xr:uid="{00000000-0005-0000-0000-000057250000}"/>
    <cellStyle name="20% - Accent6 16 2 3" xfId="7140" xr:uid="{00000000-0005-0000-0000-000058250000}"/>
    <cellStyle name="20% - Accent6 16 2 3 2" xfId="15112" xr:uid="{00000000-0005-0000-0000-000059250000}"/>
    <cellStyle name="20% - Accent6 16 2 3 3" xfId="23059" xr:uid="{00000000-0005-0000-0000-00005A250000}"/>
    <cellStyle name="20% - Accent6 16 2 4" xfId="11576" xr:uid="{00000000-0005-0000-0000-00005B250000}"/>
    <cellStyle name="20% - Accent6 16 2 5" xfId="19531" xr:uid="{00000000-0005-0000-0000-00005C250000}"/>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3" xfId="23938" xr:uid="{00000000-0005-0000-0000-000061250000}"/>
    <cellStyle name="20% - Accent6 16 3 3" xfId="12454" xr:uid="{00000000-0005-0000-0000-000062250000}"/>
    <cellStyle name="20% - Accent6 16 3 4" xfId="20409" xr:uid="{00000000-0005-0000-0000-000063250000}"/>
    <cellStyle name="20% - Accent6 16 4" xfId="6259" xr:uid="{00000000-0005-0000-0000-000064250000}"/>
    <cellStyle name="20% - Accent6 16 4 2" xfId="14234" xr:uid="{00000000-0005-0000-0000-000065250000}"/>
    <cellStyle name="20% - Accent6 16 4 3" xfId="22181" xr:uid="{00000000-0005-0000-0000-000066250000}"/>
    <cellStyle name="20% - Accent6 16 5" xfId="9802" xr:uid="{00000000-0005-0000-0000-000067250000}"/>
    <cellStyle name="20% - Accent6 16 5 2" xfId="17760" xr:uid="{00000000-0005-0000-0000-000068250000}"/>
    <cellStyle name="20% - Accent6 16 5 3" xfId="25704" xr:uid="{00000000-0005-0000-0000-000069250000}"/>
    <cellStyle name="20% - Accent6 16 6" xfId="10698" xr:uid="{00000000-0005-0000-0000-00006A250000}"/>
    <cellStyle name="20% - Accent6 16 7" xfId="18653" xr:uid="{00000000-0005-0000-0000-00006B250000}"/>
    <cellStyle name="20% - Accent6 16_Exh G" xfId="2599" xr:uid="{00000000-0005-0000-0000-00006C250000}"/>
    <cellStyle name="20% - Accent6 2" xfId="299" xr:uid="{00000000-0005-0000-0000-00006D250000}"/>
    <cellStyle name="20% - Accent6 2 10" xfId="18202" xr:uid="{00000000-0005-0000-0000-00006E250000}"/>
    <cellStyle name="20% - Accent6 2 2" xfId="300" xr:uid="{00000000-0005-0000-0000-00006F250000}"/>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3" xfId="24367" xr:uid="{00000000-0005-0000-0000-000075250000}"/>
    <cellStyle name="20% - Accent6 2 2 2 2 2 3" xfId="12883" xr:uid="{00000000-0005-0000-0000-000076250000}"/>
    <cellStyle name="20% - Accent6 2 2 2 2 2 4" xfId="20838" xr:uid="{00000000-0005-0000-0000-000077250000}"/>
    <cellStyle name="20% - Accent6 2 2 2 2 3" xfId="6691" xr:uid="{00000000-0005-0000-0000-000078250000}"/>
    <cellStyle name="20% - Accent6 2 2 2 2 3 2" xfId="14663" xr:uid="{00000000-0005-0000-0000-000079250000}"/>
    <cellStyle name="20% - Accent6 2 2 2 2 3 3" xfId="22610" xr:uid="{00000000-0005-0000-0000-00007A250000}"/>
    <cellStyle name="20% - Accent6 2 2 2 2 4" xfId="11127" xr:uid="{00000000-0005-0000-0000-00007B250000}"/>
    <cellStyle name="20% - Accent6 2 2 2 2 5" xfId="19082" xr:uid="{00000000-0005-0000-0000-00007C250000}"/>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3" xfId="23489" xr:uid="{00000000-0005-0000-0000-000081250000}"/>
    <cellStyle name="20% - Accent6 2 2 2 3 3" xfId="12005" xr:uid="{00000000-0005-0000-0000-000082250000}"/>
    <cellStyle name="20% - Accent6 2 2 2 3 4" xfId="19960" xr:uid="{00000000-0005-0000-0000-000083250000}"/>
    <cellStyle name="20% - Accent6 2 2 2 4" xfId="5800" xr:uid="{00000000-0005-0000-0000-000084250000}"/>
    <cellStyle name="20% - Accent6 2 2 2 4 2" xfId="13784" xr:uid="{00000000-0005-0000-0000-000085250000}"/>
    <cellStyle name="20% - Accent6 2 2 2 4 3" xfId="21732" xr:uid="{00000000-0005-0000-0000-000086250000}"/>
    <cellStyle name="20% - Accent6 2 2 2 5" xfId="9353" xr:uid="{00000000-0005-0000-0000-000087250000}"/>
    <cellStyle name="20% - Accent6 2 2 2 5 2" xfId="17311" xr:uid="{00000000-0005-0000-0000-000088250000}"/>
    <cellStyle name="20% - Accent6 2 2 2 5 3" xfId="25255" xr:uid="{00000000-0005-0000-0000-000089250000}"/>
    <cellStyle name="20% - Accent6 2 2 2 6" xfId="10249" xr:uid="{00000000-0005-0000-0000-00008A250000}"/>
    <cellStyle name="20% - Accent6 2 2 2 7" xfId="18204" xr:uid="{00000000-0005-0000-0000-00008B250000}"/>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3" xfId="24876" xr:uid="{00000000-0005-0000-0000-000092250000}"/>
    <cellStyle name="20% - Accent6 2 2 3 2 2 3" xfId="13392" xr:uid="{00000000-0005-0000-0000-000093250000}"/>
    <cellStyle name="20% - Accent6 2 2 3 2 2 4" xfId="21347" xr:uid="{00000000-0005-0000-0000-000094250000}"/>
    <cellStyle name="20% - Accent6 2 2 3 2 3" xfId="7200" xr:uid="{00000000-0005-0000-0000-000095250000}"/>
    <cellStyle name="20% - Accent6 2 2 3 2 3 2" xfId="15172" xr:uid="{00000000-0005-0000-0000-000096250000}"/>
    <cellStyle name="20% - Accent6 2 2 3 2 3 3" xfId="23119" xr:uid="{00000000-0005-0000-0000-000097250000}"/>
    <cellStyle name="20% - Accent6 2 2 3 2 4" xfId="11636" xr:uid="{00000000-0005-0000-0000-000098250000}"/>
    <cellStyle name="20% - Accent6 2 2 3 2 5" xfId="19591" xr:uid="{00000000-0005-0000-0000-000099250000}"/>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3" xfId="23998" xr:uid="{00000000-0005-0000-0000-00009E250000}"/>
    <cellStyle name="20% - Accent6 2 2 3 3 3" xfId="12514" xr:uid="{00000000-0005-0000-0000-00009F250000}"/>
    <cellStyle name="20% - Accent6 2 2 3 3 4" xfId="20469" xr:uid="{00000000-0005-0000-0000-0000A0250000}"/>
    <cellStyle name="20% - Accent6 2 2 3 4" xfId="6319" xr:uid="{00000000-0005-0000-0000-0000A1250000}"/>
    <cellStyle name="20% - Accent6 2 2 3 4 2" xfId="14294" xr:uid="{00000000-0005-0000-0000-0000A2250000}"/>
    <cellStyle name="20% - Accent6 2 2 3 4 3" xfId="22241" xr:uid="{00000000-0005-0000-0000-0000A3250000}"/>
    <cellStyle name="20% - Accent6 2 2 3 5" xfId="9862" xr:uid="{00000000-0005-0000-0000-0000A4250000}"/>
    <cellStyle name="20% - Accent6 2 2 3 5 2" xfId="17820" xr:uid="{00000000-0005-0000-0000-0000A5250000}"/>
    <cellStyle name="20% - Accent6 2 2 3 5 3" xfId="25764" xr:uid="{00000000-0005-0000-0000-0000A6250000}"/>
    <cellStyle name="20% - Accent6 2 2 3 6" xfId="10758" xr:uid="{00000000-0005-0000-0000-0000A7250000}"/>
    <cellStyle name="20% - Accent6 2 2 3 7" xfId="18713" xr:uid="{00000000-0005-0000-0000-0000A8250000}"/>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3" xfId="24366" xr:uid="{00000000-0005-0000-0000-0000AE250000}"/>
    <cellStyle name="20% - Accent6 2 2 4 2 3" xfId="12882" xr:uid="{00000000-0005-0000-0000-0000AF250000}"/>
    <cellStyle name="20% - Accent6 2 2 4 2 4" xfId="20837" xr:uid="{00000000-0005-0000-0000-0000B0250000}"/>
    <cellStyle name="20% - Accent6 2 2 4 3" xfId="6690" xr:uid="{00000000-0005-0000-0000-0000B1250000}"/>
    <cellStyle name="20% - Accent6 2 2 4 3 2" xfId="14662" xr:uid="{00000000-0005-0000-0000-0000B2250000}"/>
    <cellStyle name="20% - Accent6 2 2 4 3 3" xfId="22609" xr:uid="{00000000-0005-0000-0000-0000B3250000}"/>
    <cellStyle name="20% - Accent6 2 2 4 4" xfId="11126" xr:uid="{00000000-0005-0000-0000-0000B4250000}"/>
    <cellStyle name="20% - Accent6 2 2 4 5" xfId="19081" xr:uid="{00000000-0005-0000-0000-0000B5250000}"/>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3" xfId="23488" xr:uid="{00000000-0005-0000-0000-0000BA250000}"/>
    <cellStyle name="20% - Accent6 2 2 5 3" xfId="12004" xr:uid="{00000000-0005-0000-0000-0000BB250000}"/>
    <cellStyle name="20% - Accent6 2 2 5 4" xfId="19959" xr:uid="{00000000-0005-0000-0000-0000BC250000}"/>
    <cellStyle name="20% - Accent6 2 2 6" xfId="5799" xr:uid="{00000000-0005-0000-0000-0000BD250000}"/>
    <cellStyle name="20% - Accent6 2 2 6 2" xfId="13783" xr:uid="{00000000-0005-0000-0000-0000BE250000}"/>
    <cellStyle name="20% - Accent6 2 2 6 3" xfId="21731" xr:uid="{00000000-0005-0000-0000-0000BF250000}"/>
    <cellStyle name="20% - Accent6 2 2 7" xfId="9352" xr:uid="{00000000-0005-0000-0000-0000C0250000}"/>
    <cellStyle name="20% - Accent6 2 2 7 2" xfId="17310" xr:uid="{00000000-0005-0000-0000-0000C1250000}"/>
    <cellStyle name="20% - Accent6 2 2 7 3" xfId="25254" xr:uid="{00000000-0005-0000-0000-0000C2250000}"/>
    <cellStyle name="20% - Accent6 2 2 8" xfId="10248" xr:uid="{00000000-0005-0000-0000-0000C3250000}"/>
    <cellStyle name="20% - Accent6 2 2 9" xfId="18203" xr:uid="{00000000-0005-0000-0000-0000C4250000}"/>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3" xfId="24368" xr:uid="{00000000-0005-0000-0000-0000CB250000}"/>
    <cellStyle name="20% - Accent6 2 3 2 2 3" xfId="12884" xr:uid="{00000000-0005-0000-0000-0000CC250000}"/>
    <cellStyle name="20% - Accent6 2 3 2 2 4" xfId="20839" xr:uid="{00000000-0005-0000-0000-0000CD250000}"/>
    <cellStyle name="20% - Accent6 2 3 2 3" xfId="6692" xr:uid="{00000000-0005-0000-0000-0000CE250000}"/>
    <cellStyle name="20% - Accent6 2 3 2 3 2" xfId="14664" xr:uid="{00000000-0005-0000-0000-0000CF250000}"/>
    <cellStyle name="20% - Accent6 2 3 2 3 3" xfId="22611" xr:uid="{00000000-0005-0000-0000-0000D0250000}"/>
    <cellStyle name="20% - Accent6 2 3 2 4" xfId="11128" xr:uid="{00000000-0005-0000-0000-0000D1250000}"/>
    <cellStyle name="20% - Accent6 2 3 2 5" xfId="19083" xr:uid="{00000000-0005-0000-0000-0000D2250000}"/>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3" xfId="23490" xr:uid="{00000000-0005-0000-0000-0000D7250000}"/>
    <cellStyle name="20% - Accent6 2 3 3 3" xfId="12006" xr:uid="{00000000-0005-0000-0000-0000D8250000}"/>
    <cellStyle name="20% - Accent6 2 3 3 4" xfId="19961" xr:uid="{00000000-0005-0000-0000-0000D9250000}"/>
    <cellStyle name="20% - Accent6 2 3 4" xfId="5801" xr:uid="{00000000-0005-0000-0000-0000DA250000}"/>
    <cellStyle name="20% - Accent6 2 3 4 2" xfId="13785" xr:uid="{00000000-0005-0000-0000-0000DB250000}"/>
    <cellStyle name="20% - Accent6 2 3 4 3" xfId="21733" xr:uid="{00000000-0005-0000-0000-0000DC250000}"/>
    <cellStyle name="20% - Accent6 2 3 5" xfId="9354" xr:uid="{00000000-0005-0000-0000-0000DD250000}"/>
    <cellStyle name="20% - Accent6 2 3 5 2" xfId="17312" xr:uid="{00000000-0005-0000-0000-0000DE250000}"/>
    <cellStyle name="20% - Accent6 2 3 5 3" xfId="25256" xr:uid="{00000000-0005-0000-0000-0000DF250000}"/>
    <cellStyle name="20% - Accent6 2 3 6" xfId="10250" xr:uid="{00000000-0005-0000-0000-0000E0250000}"/>
    <cellStyle name="20% - Accent6 2 3 7" xfId="18205" xr:uid="{00000000-0005-0000-0000-0000E125000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3" xfId="24875" xr:uid="{00000000-0005-0000-0000-0000E8250000}"/>
    <cellStyle name="20% - Accent6 2 4 2 2 3" xfId="13391" xr:uid="{00000000-0005-0000-0000-0000E9250000}"/>
    <cellStyle name="20% - Accent6 2 4 2 2 4" xfId="21346" xr:uid="{00000000-0005-0000-0000-0000EA250000}"/>
    <cellStyle name="20% - Accent6 2 4 2 3" xfId="7199" xr:uid="{00000000-0005-0000-0000-0000EB250000}"/>
    <cellStyle name="20% - Accent6 2 4 2 3 2" xfId="15171" xr:uid="{00000000-0005-0000-0000-0000EC250000}"/>
    <cellStyle name="20% - Accent6 2 4 2 3 3" xfId="23118" xr:uid="{00000000-0005-0000-0000-0000ED250000}"/>
    <cellStyle name="20% - Accent6 2 4 2 4" xfId="11635" xr:uid="{00000000-0005-0000-0000-0000EE250000}"/>
    <cellStyle name="20% - Accent6 2 4 2 5" xfId="19590" xr:uid="{00000000-0005-0000-0000-0000EF250000}"/>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3" xfId="23997" xr:uid="{00000000-0005-0000-0000-0000F4250000}"/>
    <cellStyle name="20% - Accent6 2 4 3 3" xfId="12513" xr:uid="{00000000-0005-0000-0000-0000F5250000}"/>
    <cellStyle name="20% - Accent6 2 4 3 4" xfId="20468" xr:uid="{00000000-0005-0000-0000-0000F6250000}"/>
    <cellStyle name="20% - Accent6 2 4 4" xfId="6318" xr:uid="{00000000-0005-0000-0000-0000F7250000}"/>
    <cellStyle name="20% - Accent6 2 4 4 2" xfId="14293" xr:uid="{00000000-0005-0000-0000-0000F8250000}"/>
    <cellStyle name="20% - Accent6 2 4 4 3" xfId="22240" xr:uid="{00000000-0005-0000-0000-0000F9250000}"/>
    <cellStyle name="20% - Accent6 2 4 5" xfId="9861" xr:uid="{00000000-0005-0000-0000-0000FA250000}"/>
    <cellStyle name="20% - Accent6 2 4 5 2" xfId="17819" xr:uid="{00000000-0005-0000-0000-0000FB250000}"/>
    <cellStyle name="20% - Accent6 2 4 5 3" xfId="25763" xr:uid="{00000000-0005-0000-0000-0000FC250000}"/>
    <cellStyle name="20% - Accent6 2 4 6" xfId="10757" xr:uid="{00000000-0005-0000-0000-0000FD250000}"/>
    <cellStyle name="20% - Accent6 2 4 7" xfId="18712" xr:uid="{00000000-0005-0000-0000-0000FE250000}"/>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3" xfId="24365" xr:uid="{00000000-0005-0000-0000-000004260000}"/>
    <cellStyle name="20% - Accent6 2 5 2 3" xfId="12881" xr:uid="{00000000-0005-0000-0000-000005260000}"/>
    <cellStyle name="20% - Accent6 2 5 2 4" xfId="20836" xr:uid="{00000000-0005-0000-0000-000006260000}"/>
    <cellStyle name="20% - Accent6 2 5 3" xfId="6689" xr:uid="{00000000-0005-0000-0000-000007260000}"/>
    <cellStyle name="20% - Accent6 2 5 3 2" xfId="14661" xr:uid="{00000000-0005-0000-0000-000008260000}"/>
    <cellStyle name="20% - Accent6 2 5 3 3" xfId="22608" xr:uid="{00000000-0005-0000-0000-000009260000}"/>
    <cellStyle name="20% - Accent6 2 5 4" xfId="11125" xr:uid="{00000000-0005-0000-0000-00000A260000}"/>
    <cellStyle name="20% - Accent6 2 5 5" xfId="19080" xr:uid="{00000000-0005-0000-0000-00000B260000}"/>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3" xfId="23487" xr:uid="{00000000-0005-0000-0000-000010260000}"/>
    <cellStyle name="20% - Accent6 2 6 3" xfId="12003" xr:uid="{00000000-0005-0000-0000-000011260000}"/>
    <cellStyle name="20% - Accent6 2 6 4" xfId="19958" xr:uid="{00000000-0005-0000-0000-000012260000}"/>
    <cellStyle name="20% - Accent6 2 7" xfId="5798" xr:uid="{00000000-0005-0000-0000-000013260000}"/>
    <cellStyle name="20% - Accent6 2 7 2" xfId="13782" xr:uid="{00000000-0005-0000-0000-000014260000}"/>
    <cellStyle name="20% - Accent6 2 7 3" xfId="21730" xr:uid="{00000000-0005-0000-0000-000015260000}"/>
    <cellStyle name="20% - Accent6 2 8" xfId="9351" xr:uid="{00000000-0005-0000-0000-000016260000}"/>
    <cellStyle name="20% - Accent6 2 8 2" xfId="17309" xr:uid="{00000000-0005-0000-0000-000017260000}"/>
    <cellStyle name="20% - Accent6 2 8 3" xfId="25253" xr:uid="{00000000-0005-0000-0000-000018260000}"/>
    <cellStyle name="20% - Accent6 2 9" xfId="10247" xr:uid="{00000000-0005-0000-0000-000019260000}"/>
    <cellStyle name="20% - Accent6 2_Exh G" xfId="2601" xr:uid="{00000000-0005-0000-0000-00001A260000}"/>
    <cellStyle name="20% - Accent6 3" xfId="303" xr:uid="{00000000-0005-0000-0000-00001B260000}"/>
    <cellStyle name="20% - Accent6 3 10" xfId="18206" xr:uid="{00000000-0005-0000-0000-00001C260000}"/>
    <cellStyle name="20% - Accent6 3 2" xfId="304" xr:uid="{00000000-0005-0000-0000-00001D260000}"/>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3" xfId="24371" xr:uid="{00000000-0005-0000-0000-000023260000}"/>
    <cellStyle name="20% - Accent6 3 2 2 2 2 3" xfId="12887" xr:uid="{00000000-0005-0000-0000-000024260000}"/>
    <cellStyle name="20% - Accent6 3 2 2 2 2 4" xfId="20842" xr:uid="{00000000-0005-0000-0000-000025260000}"/>
    <cellStyle name="20% - Accent6 3 2 2 2 3" xfId="6695" xr:uid="{00000000-0005-0000-0000-000026260000}"/>
    <cellStyle name="20% - Accent6 3 2 2 2 3 2" xfId="14667" xr:uid="{00000000-0005-0000-0000-000027260000}"/>
    <cellStyle name="20% - Accent6 3 2 2 2 3 3" xfId="22614" xr:uid="{00000000-0005-0000-0000-000028260000}"/>
    <cellStyle name="20% - Accent6 3 2 2 2 4" xfId="11131" xr:uid="{00000000-0005-0000-0000-000029260000}"/>
    <cellStyle name="20% - Accent6 3 2 2 2 5" xfId="19086" xr:uid="{00000000-0005-0000-0000-00002A260000}"/>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3" xfId="23493" xr:uid="{00000000-0005-0000-0000-00002F260000}"/>
    <cellStyle name="20% - Accent6 3 2 2 3 3" xfId="12009" xr:uid="{00000000-0005-0000-0000-000030260000}"/>
    <cellStyle name="20% - Accent6 3 2 2 3 4" xfId="19964" xr:uid="{00000000-0005-0000-0000-000031260000}"/>
    <cellStyle name="20% - Accent6 3 2 2 4" xfId="5804" xr:uid="{00000000-0005-0000-0000-000032260000}"/>
    <cellStyle name="20% - Accent6 3 2 2 4 2" xfId="13788" xr:uid="{00000000-0005-0000-0000-000033260000}"/>
    <cellStyle name="20% - Accent6 3 2 2 4 3" xfId="21736" xr:uid="{00000000-0005-0000-0000-000034260000}"/>
    <cellStyle name="20% - Accent6 3 2 2 5" xfId="9357" xr:uid="{00000000-0005-0000-0000-000035260000}"/>
    <cellStyle name="20% - Accent6 3 2 2 5 2" xfId="17315" xr:uid="{00000000-0005-0000-0000-000036260000}"/>
    <cellStyle name="20% - Accent6 3 2 2 5 3" xfId="25259" xr:uid="{00000000-0005-0000-0000-000037260000}"/>
    <cellStyle name="20% - Accent6 3 2 2 6" xfId="10253" xr:uid="{00000000-0005-0000-0000-000038260000}"/>
    <cellStyle name="20% - Accent6 3 2 2 7" xfId="18208" xr:uid="{00000000-0005-0000-0000-000039260000}"/>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3" xfId="24878" xr:uid="{00000000-0005-0000-0000-000040260000}"/>
    <cellStyle name="20% - Accent6 3 2 3 2 2 3" xfId="13394" xr:uid="{00000000-0005-0000-0000-000041260000}"/>
    <cellStyle name="20% - Accent6 3 2 3 2 2 4" xfId="21349" xr:uid="{00000000-0005-0000-0000-000042260000}"/>
    <cellStyle name="20% - Accent6 3 2 3 2 3" xfId="7202" xr:uid="{00000000-0005-0000-0000-000043260000}"/>
    <cellStyle name="20% - Accent6 3 2 3 2 3 2" xfId="15174" xr:uid="{00000000-0005-0000-0000-000044260000}"/>
    <cellStyle name="20% - Accent6 3 2 3 2 3 3" xfId="23121" xr:uid="{00000000-0005-0000-0000-000045260000}"/>
    <cellStyle name="20% - Accent6 3 2 3 2 4" xfId="11638" xr:uid="{00000000-0005-0000-0000-000046260000}"/>
    <cellStyle name="20% - Accent6 3 2 3 2 5" xfId="19593" xr:uid="{00000000-0005-0000-0000-000047260000}"/>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3" xfId="24000" xr:uid="{00000000-0005-0000-0000-00004C260000}"/>
    <cellStyle name="20% - Accent6 3 2 3 3 3" xfId="12516" xr:uid="{00000000-0005-0000-0000-00004D260000}"/>
    <cellStyle name="20% - Accent6 3 2 3 3 4" xfId="20471" xr:uid="{00000000-0005-0000-0000-00004E260000}"/>
    <cellStyle name="20% - Accent6 3 2 3 4" xfId="6321" xr:uid="{00000000-0005-0000-0000-00004F260000}"/>
    <cellStyle name="20% - Accent6 3 2 3 4 2" xfId="14296" xr:uid="{00000000-0005-0000-0000-000050260000}"/>
    <cellStyle name="20% - Accent6 3 2 3 4 3" xfId="22243" xr:uid="{00000000-0005-0000-0000-000051260000}"/>
    <cellStyle name="20% - Accent6 3 2 3 5" xfId="9864" xr:uid="{00000000-0005-0000-0000-000052260000}"/>
    <cellStyle name="20% - Accent6 3 2 3 5 2" xfId="17822" xr:uid="{00000000-0005-0000-0000-000053260000}"/>
    <cellStyle name="20% - Accent6 3 2 3 5 3" xfId="25766" xr:uid="{00000000-0005-0000-0000-000054260000}"/>
    <cellStyle name="20% - Accent6 3 2 3 6" xfId="10760" xr:uid="{00000000-0005-0000-0000-000055260000}"/>
    <cellStyle name="20% - Accent6 3 2 3 7" xfId="18715" xr:uid="{00000000-0005-0000-0000-000056260000}"/>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3" xfId="24370" xr:uid="{00000000-0005-0000-0000-00005C260000}"/>
    <cellStyle name="20% - Accent6 3 2 4 2 3" xfId="12886" xr:uid="{00000000-0005-0000-0000-00005D260000}"/>
    <cellStyle name="20% - Accent6 3 2 4 2 4" xfId="20841" xr:uid="{00000000-0005-0000-0000-00005E260000}"/>
    <cellStyle name="20% - Accent6 3 2 4 3" xfId="6694" xr:uid="{00000000-0005-0000-0000-00005F260000}"/>
    <cellStyle name="20% - Accent6 3 2 4 3 2" xfId="14666" xr:uid="{00000000-0005-0000-0000-000060260000}"/>
    <cellStyle name="20% - Accent6 3 2 4 3 3" xfId="22613" xr:uid="{00000000-0005-0000-0000-000061260000}"/>
    <cellStyle name="20% - Accent6 3 2 4 4" xfId="11130" xr:uid="{00000000-0005-0000-0000-000062260000}"/>
    <cellStyle name="20% - Accent6 3 2 4 5" xfId="19085" xr:uid="{00000000-0005-0000-0000-000063260000}"/>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3" xfId="23492" xr:uid="{00000000-0005-0000-0000-000068260000}"/>
    <cellStyle name="20% - Accent6 3 2 5 3" xfId="12008" xr:uid="{00000000-0005-0000-0000-000069260000}"/>
    <cellStyle name="20% - Accent6 3 2 5 4" xfId="19963" xr:uid="{00000000-0005-0000-0000-00006A260000}"/>
    <cellStyle name="20% - Accent6 3 2 6" xfId="5803" xr:uid="{00000000-0005-0000-0000-00006B260000}"/>
    <cellStyle name="20% - Accent6 3 2 6 2" xfId="13787" xr:uid="{00000000-0005-0000-0000-00006C260000}"/>
    <cellStyle name="20% - Accent6 3 2 6 3" xfId="21735" xr:uid="{00000000-0005-0000-0000-00006D260000}"/>
    <cellStyle name="20% - Accent6 3 2 7" xfId="9356" xr:uid="{00000000-0005-0000-0000-00006E260000}"/>
    <cellStyle name="20% - Accent6 3 2 7 2" xfId="17314" xr:uid="{00000000-0005-0000-0000-00006F260000}"/>
    <cellStyle name="20% - Accent6 3 2 7 3" xfId="25258" xr:uid="{00000000-0005-0000-0000-000070260000}"/>
    <cellStyle name="20% - Accent6 3 2 8" xfId="10252" xr:uid="{00000000-0005-0000-0000-000071260000}"/>
    <cellStyle name="20% - Accent6 3 2 9" xfId="18207" xr:uid="{00000000-0005-0000-0000-000072260000}"/>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3" xfId="24372" xr:uid="{00000000-0005-0000-0000-000079260000}"/>
    <cellStyle name="20% - Accent6 3 3 2 2 3" xfId="12888" xr:uid="{00000000-0005-0000-0000-00007A260000}"/>
    <cellStyle name="20% - Accent6 3 3 2 2 4" xfId="20843" xr:uid="{00000000-0005-0000-0000-00007B260000}"/>
    <cellStyle name="20% - Accent6 3 3 2 3" xfId="6696" xr:uid="{00000000-0005-0000-0000-00007C260000}"/>
    <cellStyle name="20% - Accent6 3 3 2 3 2" xfId="14668" xr:uid="{00000000-0005-0000-0000-00007D260000}"/>
    <cellStyle name="20% - Accent6 3 3 2 3 3" xfId="22615" xr:uid="{00000000-0005-0000-0000-00007E260000}"/>
    <cellStyle name="20% - Accent6 3 3 2 4" xfId="11132" xr:uid="{00000000-0005-0000-0000-00007F260000}"/>
    <cellStyle name="20% - Accent6 3 3 2 5" xfId="19087" xr:uid="{00000000-0005-0000-0000-000080260000}"/>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3" xfId="23494" xr:uid="{00000000-0005-0000-0000-000085260000}"/>
    <cellStyle name="20% - Accent6 3 3 3 3" xfId="12010" xr:uid="{00000000-0005-0000-0000-000086260000}"/>
    <cellStyle name="20% - Accent6 3 3 3 4" xfId="19965" xr:uid="{00000000-0005-0000-0000-000087260000}"/>
    <cellStyle name="20% - Accent6 3 3 4" xfId="5805" xr:uid="{00000000-0005-0000-0000-000088260000}"/>
    <cellStyle name="20% - Accent6 3 3 4 2" xfId="13789" xr:uid="{00000000-0005-0000-0000-000089260000}"/>
    <cellStyle name="20% - Accent6 3 3 4 3" xfId="21737" xr:uid="{00000000-0005-0000-0000-00008A260000}"/>
    <cellStyle name="20% - Accent6 3 3 5" xfId="9358" xr:uid="{00000000-0005-0000-0000-00008B260000}"/>
    <cellStyle name="20% - Accent6 3 3 5 2" xfId="17316" xr:uid="{00000000-0005-0000-0000-00008C260000}"/>
    <cellStyle name="20% - Accent6 3 3 5 3" xfId="25260" xr:uid="{00000000-0005-0000-0000-00008D260000}"/>
    <cellStyle name="20% - Accent6 3 3 6" xfId="10254" xr:uid="{00000000-0005-0000-0000-00008E260000}"/>
    <cellStyle name="20% - Accent6 3 3 7" xfId="18209" xr:uid="{00000000-0005-0000-0000-00008F260000}"/>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3" xfId="24877" xr:uid="{00000000-0005-0000-0000-000096260000}"/>
    <cellStyle name="20% - Accent6 3 4 2 2 3" xfId="13393" xr:uid="{00000000-0005-0000-0000-000097260000}"/>
    <cellStyle name="20% - Accent6 3 4 2 2 4" xfId="21348" xr:uid="{00000000-0005-0000-0000-000098260000}"/>
    <cellStyle name="20% - Accent6 3 4 2 3" xfId="7201" xr:uid="{00000000-0005-0000-0000-000099260000}"/>
    <cellStyle name="20% - Accent6 3 4 2 3 2" xfId="15173" xr:uid="{00000000-0005-0000-0000-00009A260000}"/>
    <cellStyle name="20% - Accent6 3 4 2 3 3" xfId="23120" xr:uid="{00000000-0005-0000-0000-00009B260000}"/>
    <cellStyle name="20% - Accent6 3 4 2 4" xfId="11637" xr:uid="{00000000-0005-0000-0000-00009C260000}"/>
    <cellStyle name="20% - Accent6 3 4 2 5" xfId="19592" xr:uid="{00000000-0005-0000-0000-00009D260000}"/>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3" xfId="23999" xr:uid="{00000000-0005-0000-0000-0000A2260000}"/>
    <cellStyle name="20% - Accent6 3 4 3 3" xfId="12515" xr:uid="{00000000-0005-0000-0000-0000A3260000}"/>
    <cellStyle name="20% - Accent6 3 4 3 4" xfId="20470" xr:uid="{00000000-0005-0000-0000-0000A4260000}"/>
    <cellStyle name="20% - Accent6 3 4 4" xfId="6320" xr:uid="{00000000-0005-0000-0000-0000A5260000}"/>
    <cellStyle name="20% - Accent6 3 4 4 2" xfId="14295" xr:uid="{00000000-0005-0000-0000-0000A6260000}"/>
    <cellStyle name="20% - Accent6 3 4 4 3" xfId="22242" xr:uid="{00000000-0005-0000-0000-0000A7260000}"/>
    <cellStyle name="20% - Accent6 3 4 5" xfId="9863" xr:uid="{00000000-0005-0000-0000-0000A8260000}"/>
    <cellStyle name="20% - Accent6 3 4 5 2" xfId="17821" xr:uid="{00000000-0005-0000-0000-0000A9260000}"/>
    <cellStyle name="20% - Accent6 3 4 5 3" xfId="25765" xr:uid="{00000000-0005-0000-0000-0000AA260000}"/>
    <cellStyle name="20% - Accent6 3 4 6" xfId="10759" xr:uid="{00000000-0005-0000-0000-0000AB260000}"/>
    <cellStyle name="20% - Accent6 3 4 7" xfId="18714" xr:uid="{00000000-0005-0000-0000-0000AC26000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3" xfId="24369" xr:uid="{00000000-0005-0000-0000-0000B2260000}"/>
    <cellStyle name="20% - Accent6 3 5 2 3" xfId="12885" xr:uid="{00000000-0005-0000-0000-0000B3260000}"/>
    <cellStyle name="20% - Accent6 3 5 2 4" xfId="20840" xr:uid="{00000000-0005-0000-0000-0000B4260000}"/>
    <cellStyle name="20% - Accent6 3 5 3" xfId="6693" xr:uid="{00000000-0005-0000-0000-0000B5260000}"/>
    <cellStyle name="20% - Accent6 3 5 3 2" xfId="14665" xr:uid="{00000000-0005-0000-0000-0000B6260000}"/>
    <cellStyle name="20% - Accent6 3 5 3 3" xfId="22612" xr:uid="{00000000-0005-0000-0000-0000B7260000}"/>
    <cellStyle name="20% - Accent6 3 5 4" xfId="11129" xr:uid="{00000000-0005-0000-0000-0000B8260000}"/>
    <cellStyle name="20% - Accent6 3 5 5" xfId="19084" xr:uid="{00000000-0005-0000-0000-0000B9260000}"/>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3" xfId="23491" xr:uid="{00000000-0005-0000-0000-0000BE260000}"/>
    <cellStyle name="20% - Accent6 3 6 3" xfId="12007" xr:uid="{00000000-0005-0000-0000-0000BF260000}"/>
    <cellStyle name="20% - Accent6 3 6 4" xfId="19962" xr:uid="{00000000-0005-0000-0000-0000C0260000}"/>
    <cellStyle name="20% - Accent6 3 7" xfId="5802" xr:uid="{00000000-0005-0000-0000-0000C1260000}"/>
    <cellStyle name="20% - Accent6 3 7 2" xfId="13786" xr:uid="{00000000-0005-0000-0000-0000C2260000}"/>
    <cellStyle name="20% - Accent6 3 7 3" xfId="21734" xr:uid="{00000000-0005-0000-0000-0000C3260000}"/>
    <cellStyle name="20% - Accent6 3 8" xfId="9355" xr:uid="{00000000-0005-0000-0000-0000C4260000}"/>
    <cellStyle name="20% - Accent6 3 8 2" xfId="17313" xr:uid="{00000000-0005-0000-0000-0000C5260000}"/>
    <cellStyle name="20% - Accent6 3 8 3" xfId="25257" xr:uid="{00000000-0005-0000-0000-0000C6260000}"/>
    <cellStyle name="20% - Accent6 3 9" xfId="10251" xr:uid="{00000000-0005-0000-0000-0000C7260000}"/>
    <cellStyle name="20% - Accent6 3_Exh G" xfId="2613" xr:uid="{00000000-0005-0000-0000-0000C8260000}"/>
    <cellStyle name="20% - Accent6 4" xfId="307" xr:uid="{00000000-0005-0000-0000-0000C9260000}"/>
    <cellStyle name="20% - Accent6 4 10" xfId="18210" xr:uid="{00000000-0005-0000-0000-0000CA260000}"/>
    <cellStyle name="20% - Accent6 4 2" xfId="308" xr:uid="{00000000-0005-0000-0000-0000CB260000}"/>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3" xfId="24375" xr:uid="{00000000-0005-0000-0000-0000D1260000}"/>
    <cellStyle name="20% - Accent6 4 2 2 2 2 3" xfId="12891" xr:uid="{00000000-0005-0000-0000-0000D2260000}"/>
    <cellStyle name="20% - Accent6 4 2 2 2 2 4" xfId="20846" xr:uid="{00000000-0005-0000-0000-0000D3260000}"/>
    <cellStyle name="20% - Accent6 4 2 2 2 3" xfId="6699" xr:uid="{00000000-0005-0000-0000-0000D4260000}"/>
    <cellStyle name="20% - Accent6 4 2 2 2 3 2" xfId="14671" xr:uid="{00000000-0005-0000-0000-0000D5260000}"/>
    <cellStyle name="20% - Accent6 4 2 2 2 3 3" xfId="22618" xr:uid="{00000000-0005-0000-0000-0000D6260000}"/>
    <cellStyle name="20% - Accent6 4 2 2 2 4" xfId="11135" xr:uid="{00000000-0005-0000-0000-0000D7260000}"/>
    <cellStyle name="20% - Accent6 4 2 2 2 5" xfId="19090" xr:uid="{00000000-0005-0000-0000-0000D8260000}"/>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3" xfId="23497" xr:uid="{00000000-0005-0000-0000-0000DD260000}"/>
    <cellStyle name="20% - Accent6 4 2 2 3 3" xfId="12013" xr:uid="{00000000-0005-0000-0000-0000DE260000}"/>
    <cellStyle name="20% - Accent6 4 2 2 3 4" xfId="19968" xr:uid="{00000000-0005-0000-0000-0000DF260000}"/>
    <cellStyle name="20% - Accent6 4 2 2 4" xfId="5808" xr:uid="{00000000-0005-0000-0000-0000E0260000}"/>
    <cellStyle name="20% - Accent6 4 2 2 4 2" xfId="13792" xr:uid="{00000000-0005-0000-0000-0000E1260000}"/>
    <cellStyle name="20% - Accent6 4 2 2 4 3" xfId="21740" xr:uid="{00000000-0005-0000-0000-0000E2260000}"/>
    <cellStyle name="20% - Accent6 4 2 2 5" xfId="9361" xr:uid="{00000000-0005-0000-0000-0000E3260000}"/>
    <cellStyle name="20% - Accent6 4 2 2 5 2" xfId="17319" xr:uid="{00000000-0005-0000-0000-0000E4260000}"/>
    <cellStyle name="20% - Accent6 4 2 2 5 3" xfId="25263" xr:uid="{00000000-0005-0000-0000-0000E5260000}"/>
    <cellStyle name="20% - Accent6 4 2 2 6" xfId="10257" xr:uid="{00000000-0005-0000-0000-0000E6260000}"/>
    <cellStyle name="20% - Accent6 4 2 2 7" xfId="18212" xr:uid="{00000000-0005-0000-0000-0000E7260000}"/>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3" xfId="24880" xr:uid="{00000000-0005-0000-0000-0000EE260000}"/>
    <cellStyle name="20% - Accent6 4 2 3 2 2 3" xfId="13396" xr:uid="{00000000-0005-0000-0000-0000EF260000}"/>
    <cellStyle name="20% - Accent6 4 2 3 2 2 4" xfId="21351" xr:uid="{00000000-0005-0000-0000-0000F0260000}"/>
    <cellStyle name="20% - Accent6 4 2 3 2 3" xfId="7204" xr:uid="{00000000-0005-0000-0000-0000F1260000}"/>
    <cellStyle name="20% - Accent6 4 2 3 2 3 2" xfId="15176" xr:uid="{00000000-0005-0000-0000-0000F2260000}"/>
    <cellStyle name="20% - Accent6 4 2 3 2 3 3" xfId="23123" xr:uid="{00000000-0005-0000-0000-0000F3260000}"/>
    <cellStyle name="20% - Accent6 4 2 3 2 4" xfId="11640" xr:uid="{00000000-0005-0000-0000-0000F4260000}"/>
    <cellStyle name="20% - Accent6 4 2 3 2 5" xfId="19595" xr:uid="{00000000-0005-0000-0000-0000F5260000}"/>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3" xfId="24002" xr:uid="{00000000-0005-0000-0000-0000FA260000}"/>
    <cellStyle name="20% - Accent6 4 2 3 3 3" xfId="12518" xr:uid="{00000000-0005-0000-0000-0000FB260000}"/>
    <cellStyle name="20% - Accent6 4 2 3 3 4" xfId="20473" xr:uid="{00000000-0005-0000-0000-0000FC260000}"/>
    <cellStyle name="20% - Accent6 4 2 3 4" xfId="6323" xr:uid="{00000000-0005-0000-0000-0000FD260000}"/>
    <cellStyle name="20% - Accent6 4 2 3 4 2" xfId="14298" xr:uid="{00000000-0005-0000-0000-0000FE260000}"/>
    <cellStyle name="20% - Accent6 4 2 3 4 3" xfId="22245" xr:uid="{00000000-0005-0000-0000-0000FF260000}"/>
    <cellStyle name="20% - Accent6 4 2 3 5" xfId="9866" xr:uid="{00000000-0005-0000-0000-000000270000}"/>
    <cellStyle name="20% - Accent6 4 2 3 5 2" xfId="17824" xr:uid="{00000000-0005-0000-0000-000001270000}"/>
    <cellStyle name="20% - Accent6 4 2 3 5 3" xfId="25768" xr:uid="{00000000-0005-0000-0000-000002270000}"/>
    <cellStyle name="20% - Accent6 4 2 3 6" xfId="10762" xr:uid="{00000000-0005-0000-0000-000003270000}"/>
    <cellStyle name="20% - Accent6 4 2 3 7" xfId="18717" xr:uid="{00000000-0005-0000-0000-000004270000}"/>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3" xfId="24374" xr:uid="{00000000-0005-0000-0000-00000A270000}"/>
    <cellStyle name="20% - Accent6 4 2 4 2 3" xfId="12890" xr:uid="{00000000-0005-0000-0000-00000B270000}"/>
    <cellStyle name="20% - Accent6 4 2 4 2 4" xfId="20845" xr:uid="{00000000-0005-0000-0000-00000C270000}"/>
    <cellStyle name="20% - Accent6 4 2 4 3" xfId="6698" xr:uid="{00000000-0005-0000-0000-00000D270000}"/>
    <cellStyle name="20% - Accent6 4 2 4 3 2" xfId="14670" xr:uid="{00000000-0005-0000-0000-00000E270000}"/>
    <cellStyle name="20% - Accent6 4 2 4 3 3" xfId="22617" xr:uid="{00000000-0005-0000-0000-00000F270000}"/>
    <cellStyle name="20% - Accent6 4 2 4 4" xfId="11134" xr:uid="{00000000-0005-0000-0000-000010270000}"/>
    <cellStyle name="20% - Accent6 4 2 4 5" xfId="19089" xr:uid="{00000000-0005-0000-0000-000011270000}"/>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3" xfId="23496" xr:uid="{00000000-0005-0000-0000-000016270000}"/>
    <cellStyle name="20% - Accent6 4 2 5 3" xfId="12012" xr:uid="{00000000-0005-0000-0000-000017270000}"/>
    <cellStyle name="20% - Accent6 4 2 5 4" xfId="19967" xr:uid="{00000000-0005-0000-0000-000018270000}"/>
    <cellStyle name="20% - Accent6 4 2 6" xfId="5807" xr:uid="{00000000-0005-0000-0000-000019270000}"/>
    <cellStyle name="20% - Accent6 4 2 6 2" xfId="13791" xr:uid="{00000000-0005-0000-0000-00001A270000}"/>
    <cellStyle name="20% - Accent6 4 2 6 3" xfId="21739" xr:uid="{00000000-0005-0000-0000-00001B270000}"/>
    <cellStyle name="20% - Accent6 4 2 7" xfId="9360" xr:uid="{00000000-0005-0000-0000-00001C270000}"/>
    <cellStyle name="20% - Accent6 4 2 7 2" xfId="17318" xr:uid="{00000000-0005-0000-0000-00001D270000}"/>
    <cellStyle name="20% - Accent6 4 2 7 3" xfId="25262" xr:uid="{00000000-0005-0000-0000-00001E270000}"/>
    <cellStyle name="20% - Accent6 4 2 8" xfId="10256" xr:uid="{00000000-0005-0000-0000-00001F270000}"/>
    <cellStyle name="20% - Accent6 4 2 9" xfId="18211" xr:uid="{00000000-0005-0000-0000-000020270000}"/>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3" xfId="24376" xr:uid="{00000000-0005-0000-0000-000027270000}"/>
    <cellStyle name="20% - Accent6 4 3 2 2 3" xfId="12892" xr:uid="{00000000-0005-0000-0000-000028270000}"/>
    <cellStyle name="20% - Accent6 4 3 2 2 4" xfId="20847" xr:uid="{00000000-0005-0000-0000-000029270000}"/>
    <cellStyle name="20% - Accent6 4 3 2 3" xfId="6700" xr:uid="{00000000-0005-0000-0000-00002A270000}"/>
    <cellStyle name="20% - Accent6 4 3 2 3 2" xfId="14672" xr:uid="{00000000-0005-0000-0000-00002B270000}"/>
    <cellStyle name="20% - Accent6 4 3 2 3 3" xfId="22619" xr:uid="{00000000-0005-0000-0000-00002C270000}"/>
    <cellStyle name="20% - Accent6 4 3 2 4" xfId="11136" xr:uid="{00000000-0005-0000-0000-00002D270000}"/>
    <cellStyle name="20% - Accent6 4 3 2 5" xfId="19091" xr:uid="{00000000-0005-0000-0000-00002E270000}"/>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3" xfId="23498" xr:uid="{00000000-0005-0000-0000-000033270000}"/>
    <cellStyle name="20% - Accent6 4 3 3 3" xfId="12014" xr:uid="{00000000-0005-0000-0000-000034270000}"/>
    <cellStyle name="20% - Accent6 4 3 3 4" xfId="19969" xr:uid="{00000000-0005-0000-0000-000035270000}"/>
    <cellStyle name="20% - Accent6 4 3 4" xfId="5809" xr:uid="{00000000-0005-0000-0000-000036270000}"/>
    <cellStyle name="20% - Accent6 4 3 4 2" xfId="13793" xr:uid="{00000000-0005-0000-0000-000037270000}"/>
    <cellStyle name="20% - Accent6 4 3 4 3" xfId="21741" xr:uid="{00000000-0005-0000-0000-000038270000}"/>
    <cellStyle name="20% - Accent6 4 3 5" xfId="9362" xr:uid="{00000000-0005-0000-0000-000039270000}"/>
    <cellStyle name="20% - Accent6 4 3 5 2" xfId="17320" xr:uid="{00000000-0005-0000-0000-00003A270000}"/>
    <cellStyle name="20% - Accent6 4 3 5 3" xfId="25264" xr:uid="{00000000-0005-0000-0000-00003B270000}"/>
    <cellStyle name="20% - Accent6 4 3 6" xfId="10258" xr:uid="{00000000-0005-0000-0000-00003C270000}"/>
    <cellStyle name="20% - Accent6 4 3 7" xfId="18213" xr:uid="{00000000-0005-0000-0000-00003D270000}"/>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3" xfId="24879" xr:uid="{00000000-0005-0000-0000-000044270000}"/>
    <cellStyle name="20% - Accent6 4 4 2 2 3" xfId="13395" xr:uid="{00000000-0005-0000-0000-000045270000}"/>
    <cellStyle name="20% - Accent6 4 4 2 2 4" xfId="21350" xr:uid="{00000000-0005-0000-0000-000046270000}"/>
    <cellStyle name="20% - Accent6 4 4 2 3" xfId="7203" xr:uid="{00000000-0005-0000-0000-000047270000}"/>
    <cellStyle name="20% - Accent6 4 4 2 3 2" xfId="15175" xr:uid="{00000000-0005-0000-0000-000048270000}"/>
    <cellStyle name="20% - Accent6 4 4 2 3 3" xfId="23122" xr:uid="{00000000-0005-0000-0000-000049270000}"/>
    <cellStyle name="20% - Accent6 4 4 2 4" xfId="11639" xr:uid="{00000000-0005-0000-0000-00004A270000}"/>
    <cellStyle name="20% - Accent6 4 4 2 5" xfId="19594" xr:uid="{00000000-0005-0000-0000-00004B270000}"/>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3" xfId="24001" xr:uid="{00000000-0005-0000-0000-000050270000}"/>
    <cellStyle name="20% - Accent6 4 4 3 3" xfId="12517" xr:uid="{00000000-0005-0000-0000-000051270000}"/>
    <cellStyle name="20% - Accent6 4 4 3 4" xfId="20472" xr:uid="{00000000-0005-0000-0000-000052270000}"/>
    <cellStyle name="20% - Accent6 4 4 4" xfId="6322" xr:uid="{00000000-0005-0000-0000-000053270000}"/>
    <cellStyle name="20% - Accent6 4 4 4 2" xfId="14297" xr:uid="{00000000-0005-0000-0000-000054270000}"/>
    <cellStyle name="20% - Accent6 4 4 4 3" xfId="22244" xr:uid="{00000000-0005-0000-0000-000055270000}"/>
    <cellStyle name="20% - Accent6 4 4 5" xfId="9865" xr:uid="{00000000-0005-0000-0000-000056270000}"/>
    <cellStyle name="20% - Accent6 4 4 5 2" xfId="17823" xr:uid="{00000000-0005-0000-0000-000057270000}"/>
    <cellStyle name="20% - Accent6 4 4 5 3" xfId="25767" xr:uid="{00000000-0005-0000-0000-000058270000}"/>
    <cellStyle name="20% - Accent6 4 4 6" xfId="10761" xr:uid="{00000000-0005-0000-0000-000059270000}"/>
    <cellStyle name="20% - Accent6 4 4 7" xfId="18716" xr:uid="{00000000-0005-0000-0000-00005A270000}"/>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3" xfId="24373" xr:uid="{00000000-0005-0000-0000-000060270000}"/>
    <cellStyle name="20% - Accent6 4 5 2 3" xfId="12889" xr:uid="{00000000-0005-0000-0000-000061270000}"/>
    <cellStyle name="20% - Accent6 4 5 2 4" xfId="20844" xr:uid="{00000000-0005-0000-0000-000062270000}"/>
    <cellStyle name="20% - Accent6 4 5 3" xfId="6697" xr:uid="{00000000-0005-0000-0000-000063270000}"/>
    <cellStyle name="20% - Accent6 4 5 3 2" xfId="14669" xr:uid="{00000000-0005-0000-0000-000064270000}"/>
    <cellStyle name="20% - Accent6 4 5 3 3" xfId="22616" xr:uid="{00000000-0005-0000-0000-000065270000}"/>
    <cellStyle name="20% - Accent6 4 5 4" xfId="11133" xr:uid="{00000000-0005-0000-0000-000066270000}"/>
    <cellStyle name="20% - Accent6 4 5 5" xfId="19088" xr:uid="{00000000-0005-0000-0000-000067270000}"/>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3" xfId="23495" xr:uid="{00000000-0005-0000-0000-00006C270000}"/>
    <cellStyle name="20% - Accent6 4 6 3" xfId="12011" xr:uid="{00000000-0005-0000-0000-00006D270000}"/>
    <cellStyle name="20% - Accent6 4 6 4" xfId="19966" xr:uid="{00000000-0005-0000-0000-00006E270000}"/>
    <cellStyle name="20% - Accent6 4 7" xfId="5806" xr:uid="{00000000-0005-0000-0000-00006F270000}"/>
    <cellStyle name="20% - Accent6 4 7 2" xfId="13790" xr:uid="{00000000-0005-0000-0000-000070270000}"/>
    <cellStyle name="20% - Accent6 4 7 3" xfId="21738" xr:uid="{00000000-0005-0000-0000-000071270000}"/>
    <cellStyle name="20% - Accent6 4 8" xfId="9359" xr:uid="{00000000-0005-0000-0000-000072270000}"/>
    <cellStyle name="20% - Accent6 4 8 2" xfId="17317" xr:uid="{00000000-0005-0000-0000-000073270000}"/>
    <cellStyle name="20% - Accent6 4 8 3" xfId="25261" xr:uid="{00000000-0005-0000-0000-000074270000}"/>
    <cellStyle name="20% - Accent6 4 9" xfId="10255" xr:uid="{00000000-0005-0000-0000-000075270000}"/>
    <cellStyle name="20% - Accent6 4_Exh G" xfId="2625" xr:uid="{00000000-0005-0000-0000-000076270000}"/>
    <cellStyle name="20% - Accent6 5" xfId="311" xr:uid="{00000000-0005-0000-0000-000077270000}"/>
    <cellStyle name="20% - Accent6 5 10" xfId="18214" xr:uid="{00000000-0005-0000-0000-000078270000}"/>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3" xfId="24379" xr:uid="{00000000-0005-0000-0000-00007F270000}"/>
    <cellStyle name="20% - Accent6 5 2 2 2 2 3" xfId="12895" xr:uid="{00000000-0005-0000-0000-000080270000}"/>
    <cellStyle name="20% - Accent6 5 2 2 2 2 4" xfId="20850" xr:uid="{00000000-0005-0000-0000-000081270000}"/>
    <cellStyle name="20% - Accent6 5 2 2 2 3" xfId="6703" xr:uid="{00000000-0005-0000-0000-000082270000}"/>
    <cellStyle name="20% - Accent6 5 2 2 2 3 2" xfId="14675" xr:uid="{00000000-0005-0000-0000-000083270000}"/>
    <cellStyle name="20% - Accent6 5 2 2 2 3 3" xfId="22622" xr:uid="{00000000-0005-0000-0000-000084270000}"/>
    <cellStyle name="20% - Accent6 5 2 2 2 4" xfId="11139" xr:uid="{00000000-0005-0000-0000-000085270000}"/>
    <cellStyle name="20% - Accent6 5 2 2 2 5" xfId="19094" xr:uid="{00000000-0005-0000-0000-000086270000}"/>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3" xfId="23501" xr:uid="{00000000-0005-0000-0000-00008B270000}"/>
    <cellStyle name="20% - Accent6 5 2 2 3 3" xfId="12017" xr:uid="{00000000-0005-0000-0000-00008C270000}"/>
    <cellStyle name="20% - Accent6 5 2 2 3 4" xfId="19972" xr:uid="{00000000-0005-0000-0000-00008D270000}"/>
    <cellStyle name="20% - Accent6 5 2 2 4" xfId="5812" xr:uid="{00000000-0005-0000-0000-00008E270000}"/>
    <cellStyle name="20% - Accent6 5 2 2 4 2" xfId="13796" xr:uid="{00000000-0005-0000-0000-00008F270000}"/>
    <cellStyle name="20% - Accent6 5 2 2 4 3" xfId="21744" xr:uid="{00000000-0005-0000-0000-000090270000}"/>
    <cellStyle name="20% - Accent6 5 2 2 5" xfId="9365" xr:uid="{00000000-0005-0000-0000-000091270000}"/>
    <cellStyle name="20% - Accent6 5 2 2 5 2" xfId="17323" xr:uid="{00000000-0005-0000-0000-000092270000}"/>
    <cellStyle name="20% - Accent6 5 2 2 5 3" xfId="25267" xr:uid="{00000000-0005-0000-0000-000093270000}"/>
    <cellStyle name="20% - Accent6 5 2 2 6" xfId="10261" xr:uid="{00000000-0005-0000-0000-000094270000}"/>
    <cellStyle name="20% - Accent6 5 2 2 7" xfId="18216" xr:uid="{00000000-0005-0000-0000-000095270000}"/>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3" xfId="24378" xr:uid="{00000000-0005-0000-0000-00009B270000}"/>
    <cellStyle name="20% - Accent6 5 2 3 2 3" xfId="12894" xr:uid="{00000000-0005-0000-0000-00009C270000}"/>
    <cellStyle name="20% - Accent6 5 2 3 2 4" xfId="20849" xr:uid="{00000000-0005-0000-0000-00009D270000}"/>
    <cellStyle name="20% - Accent6 5 2 3 3" xfId="6702" xr:uid="{00000000-0005-0000-0000-00009E270000}"/>
    <cellStyle name="20% - Accent6 5 2 3 3 2" xfId="14674" xr:uid="{00000000-0005-0000-0000-00009F270000}"/>
    <cellStyle name="20% - Accent6 5 2 3 3 3" xfId="22621" xr:uid="{00000000-0005-0000-0000-0000A0270000}"/>
    <cellStyle name="20% - Accent6 5 2 3 4" xfId="11138" xr:uid="{00000000-0005-0000-0000-0000A1270000}"/>
    <cellStyle name="20% - Accent6 5 2 3 5" xfId="19093" xr:uid="{00000000-0005-0000-0000-0000A2270000}"/>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3" xfId="23500" xr:uid="{00000000-0005-0000-0000-0000A7270000}"/>
    <cellStyle name="20% - Accent6 5 2 4 3" xfId="12016" xr:uid="{00000000-0005-0000-0000-0000A8270000}"/>
    <cellStyle name="20% - Accent6 5 2 4 4" xfId="19971" xr:uid="{00000000-0005-0000-0000-0000A9270000}"/>
    <cellStyle name="20% - Accent6 5 2 5" xfId="5811" xr:uid="{00000000-0005-0000-0000-0000AA270000}"/>
    <cellStyle name="20% - Accent6 5 2 5 2" xfId="13795" xr:uid="{00000000-0005-0000-0000-0000AB270000}"/>
    <cellStyle name="20% - Accent6 5 2 5 3" xfId="21743" xr:uid="{00000000-0005-0000-0000-0000AC270000}"/>
    <cellStyle name="20% - Accent6 5 2 6" xfId="9364" xr:uid="{00000000-0005-0000-0000-0000AD270000}"/>
    <cellStyle name="20% - Accent6 5 2 6 2" xfId="17322" xr:uid="{00000000-0005-0000-0000-0000AE270000}"/>
    <cellStyle name="20% - Accent6 5 2 6 3" xfId="25266" xr:uid="{00000000-0005-0000-0000-0000AF270000}"/>
    <cellStyle name="20% - Accent6 5 2 7" xfId="10260" xr:uid="{00000000-0005-0000-0000-0000B0270000}"/>
    <cellStyle name="20% - Accent6 5 2 8" xfId="18215" xr:uid="{00000000-0005-0000-0000-0000B1270000}"/>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3" xfId="24380" xr:uid="{00000000-0005-0000-0000-0000B8270000}"/>
    <cellStyle name="20% - Accent6 5 3 2 2 3" xfId="12896" xr:uid="{00000000-0005-0000-0000-0000B9270000}"/>
    <cellStyle name="20% - Accent6 5 3 2 2 4" xfId="20851" xr:uid="{00000000-0005-0000-0000-0000BA270000}"/>
    <cellStyle name="20% - Accent6 5 3 2 3" xfId="6704" xr:uid="{00000000-0005-0000-0000-0000BB270000}"/>
    <cellStyle name="20% - Accent6 5 3 2 3 2" xfId="14676" xr:uid="{00000000-0005-0000-0000-0000BC270000}"/>
    <cellStyle name="20% - Accent6 5 3 2 3 3" xfId="22623" xr:uid="{00000000-0005-0000-0000-0000BD270000}"/>
    <cellStyle name="20% - Accent6 5 3 2 4" xfId="11140" xr:uid="{00000000-0005-0000-0000-0000BE270000}"/>
    <cellStyle name="20% - Accent6 5 3 2 5" xfId="19095" xr:uid="{00000000-0005-0000-0000-0000BF270000}"/>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3" xfId="23502" xr:uid="{00000000-0005-0000-0000-0000C4270000}"/>
    <cellStyle name="20% - Accent6 5 3 3 3" xfId="12018" xr:uid="{00000000-0005-0000-0000-0000C5270000}"/>
    <cellStyle name="20% - Accent6 5 3 3 4" xfId="19973" xr:uid="{00000000-0005-0000-0000-0000C6270000}"/>
    <cellStyle name="20% - Accent6 5 3 4" xfId="5813" xr:uid="{00000000-0005-0000-0000-0000C7270000}"/>
    <cellStyle name="20% - Accent6 5 3 4 2" xfId="13797" xr:uid="{00000000-0005-0000-0000-0000C8270000}"/>
    <cellStyle name="20% - Accent6 5 3 4 3" xfId="21745" xr:uid="{00000000-0005-0000-0000-0000C9270000}"/>
    <cellStyle name="20% - Accent6 5 3 5" xfId="9366" xr:uid="{00000000-0005-0000-0000-0000CA270000}"/>
    <cellStyle name="20% - Accent6 5 3 5 2" xfId="17324" xr:uid="{00000000-0005-0000-0000-0000CB270000}"/>
    <cellStyle name="20% - Accent6 5 3 5 3" xfId="25268" xr:uid="{00000000-0005-0000-0000-0000CC270000}"/>
    <cellStyle name="20% - Accent6 5 3 6" xfId="10262" xr:uid="{00000000-0005-0000-0000-0000CD270000}"/>
    <cellStyle name="20% - Accent6 5 3 7" xfId="18217" xr:uid="{00000000-0005-0000-0000-0000CE270000}"/>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3" xfId="24377" xr:uid="{00000000-0005-0000-0000-0000D5270000}"/>
    <cellStyle name="20% - Accent6 5 5 2 3" xfId="12893" xr:uid="{00000000-0005-0000-0000-0000D6270000}"/>
    <cellStyle name="20% - Accent6 5 5 2 4" xfId="20848" xr:uid="{00000000-0005-0000-0000-0000D7270000}"/>
    <cellStyle name="20% - Accent6 5 5 3" xfId="6701" xr:uid="{00000000-0005-0000-0000-0000D8270000}"/>
    <cellStyle name="20% - Accent6 5 5 3 2" xfId="14673" xr:uid="{00000000-0005-0000-0000-0000D9270000}"/>
    <cellStyle name="20% - Accent6 5 5 3 3" xfId="22620" xr:uid="{00000000-0005-0000-0000-0000DA270000}"/>
    <cellStyle name="20% - Accent6 5 5 4" xfId="11137" xr:uid="{00000000-0005-0000-0000-0000DB270000}"/>
    <cellStyle name="20% - Accent6 5 5 5" xfId="19092" xr:uid="{00000000-0005-0000-0000-0000DC270000}"/>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3" xfId="23499" xr:uid="{00000000-0005-0000-0000-0000E1270000}"/>
    <cellStyle name="20% - Accent6 5 6 3" xfId="12015" xr:uid="{00000000-0005-0000-0000-0000E2270000}"/>
    <cellStyle name="20% - Accent6 5 6 4" xfId="19970" xr:uid="{00000000-0005-0000-0000-0000E3270000}"/>
    <cellStyle name="20% - Accent6 5 7" xfId="5810" xr:uid="{00000000-0005-0000-0000-0000E4270000}"/>
    <cellStyle name="20% - Accent6 5 7 2" xfId="13794" xr:uid="{00000000-0005-0000-0000-0000E5270000}"/>
    <cellStyle name="20% - Accent6 5 7 3" xfId="21742" xr:uid="{00000000-0005-0000-0000-0000E6270000}"/>
    <cellStyle name="20% - Accent6 5 8" xfId="9363" xr:uid="{00000000-0005-0000-0000-0000E7270000}"/>
    <cellStyle name="20% - Accent6 5 8 2" xfId="17321" xr:uid="{00000000-0005-0000-0000-0000E8270000}"/>
    <cellStyle name="20% - Accent6 5 8 3" xfId="25265" xr:uid="{00000000-0005-0000-0000-0000E9270000}"/>
    <cellStyle name="20% - Accent6 5 9" xfId="10259" xr:uid="{00000000-0005-0000-0000-0000EA270000}"/>
    <cellStyle name="20% - Accent6 5_Exh G" xfId="2637" xr:uid="{00000000-0005-0000-0000-0000EB270000}"/>
    <cellStyle name="20% - Accent6 6" xfId="315" xr:uid="{00000000-0005-0000-0000-0000EC270000}"/>
    <cellStyle name="20% - Accent6 6 10" xfId="18218" xr:uid="{00000000-0005-0000-0000-0000ED270000}"/>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3" xfId="24383" xr:uid="{00000000-0005-0000-0000-0000F4270000}"/>
    <cellStyle name="20% - Accent6 6 2 2 2 2 3" xfId="12899" xr:uid="{00000000-0005-0000-0000-0000F5270000}"/>
    <cellStyle name="20% - Accent6 6 2 2 2 2 4" xfId="20854" xr:uid="{00000000-0005-0000-0000-0000F6270000}"/>
    <cellStyle name="20% - Accent6 6 2 2 2 3" xfId="6707" xr:uid="{00000000-0005-0000-0000-0000F7270000}"/>
    <cellStyle name="20% - Accent6 6 2 2 2 3 2" xfId="14679" xr:uid="{00000000-0005-0000-0000-0000F8270000}"/>
    <cellStyle name="20% - Accent6 6 2 2 2 3 3" xfId="22626" xr:uid="{00000000-0005-0000-0000-0000F9270000}"/>
    <cellStyle name="20% - Accent6 6 2 2 2 4" xfId="11143" xr:uid="{00000000-0005-0000-0000-0000FA270000}"/>
    <cellStyle name="20% - Accent6 6 2 2 2 5" xfId="19098" xr:uid="{00000000-0005-0000-0000-0000FB27000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3" xfId="23505" xr:uid="{00000000-0005-0000-0000-000000280000}"/>
    <cellStyle name="20% - Accent6 6 2 2 3 3" xfId="12021" xr:uid="{00000000-0005-0000-0000-000001280000}"/>
    <cellStyle name="20% - Accent6 6 2 2 3 4" xfId="19976" xr:uid="{00000000-0005-0000-0000-000002280000}"/>
    <cellStyle name="20% - Accent6 6 2 2 4" xfId="5816" xr:uid="{00000000-0005-0000-0000-000003280000}"/>
    <cellStyle name="20% - Accent6 6 2 2 4 2" xfId="13800" xr:uid="{00000000-0005-0000-0000-000004280000}"/>
    <cellStyle name="20% - Accent6 6 2 2 4 3" xfId="21748" xr:uid="{00000000-0005-0000-0000-000005280000}"/>
    <cellStyle name="20% - Accent6 6 2 2 5" xfId="9369" xr:uid="{00000000-0005-0000-0000-000006280000}"/>
    <cellStyle name="20% - Accent6 6 2 2 5 2" xfId="17327" xr:uid="{00000000-0005-0000-0000-000007280000}"/>
    <cellStyle name="20% - Accent6 6 2 2 5 3" xfId="25271" xr:uid="{00000000-0005-0000-0000-000008280000}"/>
    <cellStyle name="20% - Accent6 6 2 2 6" xfId="10265" xr:uid="{00000000-0005-0000-0000-000009280000}"/>
    <cellStyle name="20% - Accent6 6 2 2 7" xfId="18220" xr:uid="{00000000-0005-0000-0000-00000A280000}"/>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3" xfId="24382" xr:uid="{00000000-0005-0000-0000-000010280000}"/>
    <cellStyle name="20% - Accent6 6 2 3 2 3" xfId="12898" xr:uid="{00000000-0005-0000-0000-000011280000}"/>
    <cellStyle name="20% - Accent6 6 2 3 2 4" xfId="20853" xr:uid="{00000000-0005-0000-0000-000012280000}"/>
    <cellStyle name="20% - Accent6 6 2 3 3" xfId="6706" xr:uid="{00000000-0005-0000-0000-000013280000}"/>
    <cellStyle name="20% - Accent6 6 2 3 3 2" xfId="14678" xr:uid="{00000000-0005-0000-0000-000014280000}"/>
    <cellStyle name="20% - Accent6 6 2 3 3 3" xfId="22625" xr:uid="{00000000-0005-0000-0000-000015280000}"/>
    <cellStyle name="20% - Accent6 6 2 3 4" xfId="11142" xr:uid="{00000000-0005-0000-0000-000016280000}"/>
    <cellStyle name="20% - Accent6 6 2 3 5" xfId="19097" xr:uid="{00000000-0005-0000-0000-000017280000}"/>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3" xfId="23504" xr:uid="{00000000-0005-0000-0000-00001C280000}"/>
    <cellStyle name="20% - Accent6 6 2 4 3" xfId="12020" xr:uid="{00000000-0005-0000-0000-00001D280000}"/>
    <cellStyle name="20% - Accent6 6 2 4 4" xfId="19975" xr:uid="{00000000-0005-0000-0000-00001E280000}"/>
    <cellStyle name="20% - Accent6 6 2 5" xfId="5815" xr:uid="{00000000-0005-0000-0000-00001F280000}"/>
    <cellStyle name="20% - Accent6 6 2 5 2" xfId="13799" xr:uid="{00000000-0005-0000-0000-000020280000}"/>
    <cellStyle name="20% - Accent6 6 2 5 3" xfId="21747" xr:uid="{00000000-0005-0000-0000-000021280000}"/>
    <cellStyle name="20% - Accent6 6 2 6" xfId="9368" xr:uid="{00000000-0005-0000-0000-000022280000}"/>
    <cellStyle name="20% - Accent6 6 2 6 2" xfId="17326" xr:uid="{00000000-0005-0000-0000-000023280000}"/>
    <cellStyle name="20% - Accent6 6 2 6 3" xfId="25270" xr:uid="{00000000-0005-0000-0000-000024280000}"/>
    <cellStyle name="20% - Accent6 6 2 7" xfId="10264" xr:uid="{00000000-0005-0000-0000-000025280000}"/>
    <cellStyle name="20% - Accent6 6 2 8" xfId="18219" xr:uid="{00000000-0005-0000-0000-000026280000}"/>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3" xfId="24384" xr:uid="{00000000-0005-0000-0000-00002D280000}"/>
    <cellStyle name="20% - Accent6 6 3 2 2 3" xfId="12900" xr:uid="{00000000-0005-0000-0000-00002E280000}"/>
    <cellStyle name="20% - Accent6 6 3 2 2 4" xfId="20855" xr:uid="{00000000-0005-0000-0000-00002F280000}"/>
    <cellStyle name="20% - Accent6 6 3 2 3" xfId="6708" xr:uid="{00000000-0005-0000-0000-000030280000}"/>
    <cellStyle name="20% - Accent6 6 3 2 3 2" xfId="14680" xr:uid="{00000000-0005-0000-0000-000031280000}"/>
    <cellStyle name="20% - Accent6 6 3 2 3 3" xfId="22627" xr:uid="{00000000-0005-0000-0000-000032280000}"/>
    <cellStyle name="20% - Accent6 6 3 2 4" xfId="11144" xr:uid="{00000000-0005-0000-0000-000033280000}"/>
    <cellStyle name="20% - Accent6 6 3 2 5" xfId="19099" xr:uid="{00000000-0005-0000-0000-000034280000}"/>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3" xfId="23506" xr:uid="{00000000-0005-0000-0000-000039280000}"/>
    <cellStyle name="20% - Accent6 6 3 3 3" xfId="12022" xr:uid="{00000000-0005-0000-0000-00003A280000}"/>
    <cellStyle name="20% - Accent6 6 3 3 4" xfId="19977" xr:uid="{00000000-0005-0000-0000-00003B280000}"/>
    <cellStyle name="20% - Accent6 6 3 4" xfId="5817" xr:uid="{00000000-0005-0000-0000-00003C280000}"/>
    <cellStyle name="20% - Accent6 6 3 4 2" xfId="13801" xr:uid="{00000000-0005-0000-0000-00003D280000}"/>
    <cellStyle name="20% - Accent6 6 3 4 3" xfId="21749" xr:uid="{00000000-0005-0000-0000-00003E280000}"/>
    <cellStyle name="20% - Accent6 6 3 5" xfId="9370" xr:uid="{00000000-0005-0000-0000-00003F280000}"/>
    <cellStyle name="20% - Accent6 6 3 5 2" xfId="17328" xr:uid="{00000000-0005-0000-0000-000040280000}"/>
    <cellStyle name="20% - Accent6 6 3 5 3" xfId="25272" xr:uid="{00000000-0005-0000-0000-000041280000}"/>
    <cellStyle name="20% - Accent6 6 3 6" xfId="10266" xr:uid="{00000000-0005-0000-0000-000042280000}"/>
    <cellStyle name="20% - Accent6 6 3 7" xfId="18221" xr:uid="{00000000-0005-0000-0000-00004328000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3" xfId="24881" xr:uid="{00000000-0005-0000-0000-00004A280000}"/>
    <cellStyle name="20% - Accent6 6 4 2 2 3" xfId="13397" xr:uid="{00000000-0005-0000-0000-00004B280000}"/>
    <cellStyle name="20% - Accent6 6 4 2 2 4" xfId="21352" xr:uid="{00000000-0005-0000-0000-00004C280000}"/>
    <cellStyle name="20% - Accent6 6 4 2 3" xfId="7205" xr:uid="{00000000-0005-0000-0000-00004D280000}"/>
    <cellStyle name="20% - Accent6 6 4 2 3 2" xfId="15177" xr:uid="{00000000-0005-0000-0000-00004E280000}"/>
    <cellStyle name="20% - Accent6 6 4 2 3 3" xfId="23124" xr:uid="{00000000-0005-0000-0000-00004F280000}"/>
    <cellStyle name="20% - Accent6 6 4 2 4" xfId="11641" xr:uid="{00000000-0005-0000-0000-000050280000}"/>
    <cellStyle name="20% - Accent6 6 4 2 5" xfId="19596" xr:uid="{00000000-0005-0000-0000-00005128000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3" xfId="24003" xr:uid="{00000000-0005-0000-0000-000056280000}"/>
    <cellStyle name="20% - Accent6 6 4 3 3" xfId="12519" xr:uid="{00000000-0005-0000-0000-000057280000}"/>
    <cellStyle name="20% - Accent6 6 4 3 4" xfId="20474" xr:uid="{00000000-0005-0000-0000-000058280000}"/>
    <cellStyle name="20% - Accent6 6 4 4" xfId="6324" xr:uid="{00000000-0005-0000-0000-000059280000}"/>
    <cellStyle name="20% - Accent6 6 4 4 2" xfId="14299" xr:uid="{00000000-0005-0000-0000-00005A280000}"/>
    <cellStyle name="20% - Accent6 6 4 4 3" xfId="22246" xr:uid="{00000000-0005-0000-0000-00005B280000}"/>
    <cellStyle name="20% - Accent6 6 4 5" xfId="9867" xr:uid="{00000000-0005-0000-0000-00005C280000}"/>
    <cellStyle name="20% - Accent6 6 4 5 2" xfId="17825" xr:uid="{00000000-0005-0000-0000-00005D280000}"/>
    <cellStyle name="20% - Accent6 6 4 5 3" xfId="25769" xr:uid="{00000000-0005-0000-0000-00005E280000}"/>
    <cellStyle name="20% - Accent6 6 4 6" xfId="10763" xr:uid="{00000000-0005-0000-0000-00005F280000}"/>
    <cellStyle name="20% - Accent6 6 4 7" xfId="18718" xr:uid="{00000000-0005-0000-0000-000060280000}"/>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3" xfId="24381" xr:uid="{00000000-0005-0000-0000-000066280000}"/>
    <cellStyle name="20% - Accent6 6 5 2 3" xfId="12897" xr:uid="{00000000-0005-0000-0000-000067280000}"/>
    <cellStyle name="20% - Accent6 6 5 2 4" xfId="20852" xr:uid="{00000000-0005-0000-0000-000068280000}"/>
    <cellStyle name="20% - Accent6 6 5 3" xfId="6705" xr:uid="{00000000-0005-0000-0000-000069280000}"/>
    <cellStyle name="20% - Accent6 6 5 3 2" xfId="14677" xr:uid="{00000000-0005-0000-0000-00006A280000}"/>
    <cellStyle name="20% - Accent6 6 5 3 3" xfId="22624" xr:uid="{00000000-0005-0000-0000-00006B280000}"/>
    <cellStyle name="20% - Accent6 6 5 4" xfId="11141" xr:uid="{00000000-0005-0000-0000-00006C280000}"/>
    <cellStyle name="20% - Accent6 6 5 5" xfId="19096" xr:uid="{00000000-0005-0000-0000-00006D28000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3" xfId="23503" xr:uid="{00000000-0005-0000-0000-000072280000}"/>
    <cellStyle name="20% - Accent6 6 6 3" xfId="12019" xr:uid="{00000000-0005-0000-0000-000073280000}"/>
    <cellStyle name="20% - Accent6 6 6 4" xfId="19974" xr:uid="{00000000-0005-0000-0000-000074280000}"/>
    <cellStyle name="20% - Accent6 6 7" xfId="5814" xr:uid="{00000000-0005-0000-0000-000075280000}"/>
    <cellStyle name="20% - Accent6 6 7 2" xfId="13798" xr:uid="{00000000-0005-0000-0000-000076280000}"/>
    <cellStyle name="20% - Accent6 6 7 3" xfId="21746" xr:uid="{00000000-0005-0000-0000-000077280000}"/>
    <cellStyle name="20% - Accent6 6 8" xfId="9367" xr:uid="{00000000-0005-0000-0000-000078280000}"/>
    <cellStyle name="20% - Accent6 6 8 2" xfId="17325" xr:uid="{00000000-0005-0000-0000-000079280000}"/>
    <cellStyle name="20% - Accent6 6 8 3" xfId="25269" xr:uid="{00000000-0005-0000-0000-00007A280000}"/>
    <cellStyle name="20% - Accent6 6 9" xfId="10263" xr:uid="{00000000-0005-0000-0000-00007B280000}"/>
    <cellStyle name="20% - Accent6 6_Exh G" xfId="2645" xr:uid="{00000000-0005-0000-0000-00007C280000}"/>
    <cellStyle name="20% - Accent6 7" xfId="319" xr:uid="{00000000-0005-0000-0000-00007D280000}"/>
    <cellStyle name="20% - Accent6 7 10" xfId="18222" xr:uid="{00000000-0005-0000-0000-00007E280000}"/>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3" xfId="24387" xr:uid="{00000000-0005-0000-0000-000085280000}"/>
    <cellStyle name="20% - Accent6 7 2 2 2 2 3" xfId="12903" xr:uid="{00000000-0005-0000-0000-000086280000}"/>
    <cellStyle name="20% - Accent6 7 2 2 2 2 4" xfId="20858" xr:uid="{00000000-0005-0000-0000-000087280000}"/>
    <cellStyle name="20% - Accent6 7 2 2 2 3" xfId="6711" xr:uid="{00000000-0005-0000-0000-000088280000}"/>
    <cellStyle name="20% - Accent6 7 2 2 2 3 2" xfId="14683" xr:uid="{00000000-0005-0000-0000-000089280000}"/>
    <cellStyle name="20% - Accent6 7 2 2 2 3 3" xfId="22630" xr:uid="{00000000-0005-0000-0000-00008A280000}"/>
    <cellStyle name="20% - Accent6 7 2 2 2 4" xfId="11147" xr:uid="{00000000-0005-0000-0000-00008B280000}"/>
    <cellStyle name="20% - Accent6 7 2 2 2 5" xfId="19102" xr:uid="{00000000-0005-0000-0000-00008C280000}"/>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3" xfId="23509" xr:uid="{00000000-0005-0000-0000-000091280000}"/>
    <cellStyle name="20% - Accent6 7 2 2 3 3" xfId="12025" xr:uid="{00000000-0005-0000-0000-000092280000}"/>
    <cellStyle name="20% - Accent6 7 2 2 3 4" xfId="19980" xr:uid="{00000000-0005-0000-0000-000093280000}"/>
    <cellStyle name="20% - Accent6 7 2 2 4" xfId="5820" xr:uid="{00000000-0005-0000-0000-000094280000}"/>
    <cellStyle name="20% - Accent6 7 2 2 4 2" xfId="13804" xr:uid="{00000000-0005-0000-0000-000095280000}"/>
    <cellStyle name="20% - Accent6 7 2 2 4 3" xfId="21752" xr:uid="{00000000-0005-0000-0000-000096280000}"/>
    <cellStyle name="20% - Accent6 7 2 2 5" xfId="9373" xr:uid="{00000000-0005-0000-0000-000097280000}"/>
    <cellStyle name="20% - Accent6 7 2 2 5 2" xfId="17331" xr:uid="{00000000-0005-0000-0000-000098280000}"/>
    <cellStyle name="20% - Accent6 7 2 2 5 3" xfId="25275" xr:uid="{00000000-0005-0000-0000-000099280000}"/>
    <cellStyle name="20% - Accent6 7 2 2 6" xfId="10269" xr:uid="{00000000-0005-0000-0000-00009A280000}"/>
    <cellStyle name="20% - Accent6 7 2 2 7" xfId="18224" xr:uid="{00000000-0005-0000-0000-00009B280000}"/>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3" xfId="24386" xr:uid="{00000000-0005-0000-0000-0000A1280000}"/>
    <cellStyle name="20% - Accent6 7 2 3 2 3" xfId="12902" xr:uid="{00000000-0005-0000-0000-0000A2280000}"/>
    <cellStyle name="20% - Accent6 7 2 3 2 4" xfId="20857" xr:uid="{00000000-0005-0000-0000-0000A3280000}"/>
    <cellStyle name="20% - Accent6 7 2 3 3" xfId="6710" xr:uid="{00000000-0005-0000-0000-0000A4280000}"/>
    <cellStyle name="20% - Accent6 7 2 3 3 2" xfId="14682" xr:uid="{00000000-0005-0000-0000-0000A5280000}"/>
    <cellStyle name="20% - Accent6 7 2 3 3 3" xfId="22629" xr:uid="{00000000-0005-0000-0000-0000A6280000}"/>
    <cellStyle name="20% - Accent6 7 2 3 4" xfId="11146" xr:uid="{00000000-0005-0000-0000-0000A7280000}"/>
    <cellStyle name="20% - Accent6 7 2 3 5" xfId="19101" xr:uid="{00000000-0005-0000-0000-0000A8280000}"/>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3" xfId="23508" xr:uid="{00000000-0005-0000-0000-0000AD280000}"/>
    <cellStyle name="20% - Accent6 7 2 4 3" xfId="12024" xr:uid="{00000000-0005-0000-0000-0000AE280000}"/>
    <cellStyle name="20% - Accent6 7 2 4 4" xfId="19979" xr:uid="{00000000-0005-0000-0000-0000AF280000}"/>
    <cellStyle name="20% - Accent6 7 2 5" xfId="5819" xr:uid="{00000000-0005-0000-0000-0000B0280000}"/>
    <cellStyle name="20% - Accent6 7 2 5 2" xfId="13803" xr:uid="{00000000-0005-0000-0000-0000B1280000}"/>
    <cellStyle name="20% - Accent6 7 2 5 3" xfId="21751" xr:uid="{00000000-0005-0000-0000-0000B2280000}"/>
    <cellStyle name="20% - Accent6 7 2 6" xfId="9372" xr:uid="{00000000-0005-0000-0000-0000B3280000}"/>
    <cellStyle name="20% - Accent6 7 2 6 2" xfId="17330" xr:uid="{00000000-0005-0000-0000-0000B4280000}"/>
    <cellStyle name="20% - Accent6 7 2 6 3" xfId="25274" xr:uid="{00000000-0005-0000-0000-0000B5280000}"/>
    <cellStyle name="20% - Accent6 7 2 7" xfId="10268" xr:uid="{00000000-0005-0000-0000-0000B6280000}"/>
    <cellStyle name="20% - Accent6 7 2 8" xfId="18223" xr:uid="{00000000-0005-0000-0000-0000B7280000}"/>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3" xfId="24388" xr:uid="{00000000-0005-0000-0000-0000BE280000}"/>
    <cellStyle name="20% - Accent6 7 3 2 2 3" xfId="12904" xr:uid="{00000000-0005-0000-0000-0000BF280000}"/>
    <cellStyle name="20% - Accent6 7 3 2 2 4" xfId="20859" xr:uid="{00000000-0005-0000-0000-0000C0280000}"/>
    <cellStyle name="20% - Accent6 7 3 2 3" xfId="6712" xr:uid="{00000000-0005-0000-0000-0000C1280000}"/>
    <cellStyle name="20% - Accent6 7 3 2 3 2" xfId="14684" xr:uid="{00000000-0005-0000-0000-0000C2280000}"/>
    <cellStyle name="20% - Accent6 7 3 2 3 3" xfId="22631" xr:uid="{00000000-0005-0000-0000-0000C3280000}"/>
    <cellStyle name="20% - Accent6 7 3 2 4" xfId="11148" xr:uid="{00000000-0005-0000-0000-0000C4280000}"/>
    <cellStyle name="20% - Accent6 7 3 2 5" xfId="19103" xr:uid="{00000000-0005-0000-0000-0000C5280000}"/>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3" xfId="23510" xr:uid="{00000000-0005-0000-0000-0000CA280000}"/>
    <cellStyle name="20% - Accent6 7 3 3 3" xfId="12026" xr:uid="{00000000-0005-0000-0000-0000CB280000}"/>
    <cellStyle name="20% - Accent6 7 3 3 4" xfId="19981" xr:uid="{00000000-0005-0000-0000-0000CC280000}"/>
    <cellStyle name="20% - Accent6 7 3 4" xfId="5821" xr:uid="{00000000-0005-0000-0000-0000CD280000}"/>
    <cellStyle name="20% - Accent6 7 3 4 2" xfId="13805" xr:uid="{00000000-0005-0000-0000-0000CE280000}"/>
    <cellStyle name="20% - Accent6 7 3 4 3" xfId="21753" xr:uid="{00000000-0005-0000-0000-0000CF280000}"/>
    <cellStyle name="20% - Accent6 7 3 5" xfId="9374" xr:uid="{00000000-0005-0000-0000-0000D0280000}"/>
    <cellStyle name="20% - Accent6 7 3 5 2" xfId="17332" xr:uid="{00000000-0005-0000-0000-0000D1280000}"/>
    <cellStyle name="20% - Accent6 7 3 5 3" xfId="25276" xr:uid="{00000000-0005-0000-0000-0000D2280000}"/>
    <cellStyle name="20% - Accent6 7 3 6" xfId="10270" xr:uid="{00000000-0005-0000-0000-0000D3280000}"/>
    <cellStyle name="20% - Accent6 7 3 7" xfId="18225" xr:uid="{00000000-0005-0000-0000-0000D4280000}"/>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3" xfId="24882" xr:uid="{00000000-0005-0000-0000-0000DB280000}"/>
    <cellStyle name="20% - Accent6 7 4 2 2 3" xfId="13398" xr:uid="{00000000-0005-0000-0000-0000DC280000}"/>
    <cellStyle name="20% - Accent6 7 4 2 2 4" xfId="21353" xr:uid="{00000000-0005-0000-0000-0000DD280000}"/>
    <cellStyle name="20% - Accent6 7 4 2 3" xfId="7206" xr:uid="{00000000-0005-0000-0000-0000DE280000}"/>
    <cellStyle name="20% - Accent6 7 4 2 3 2" xfId="15178" xr:uid="{00000000-0005-0000-0000-0000DF280000}"/>
    <cellStyle name="20% - Accent6 7 4 2 3 3" xfId="23125" xr:uid="{00000000-0005-0000-0000-0000E0280000}"/>
    <cellStyle name="20% - Accent6 7 4 2 4" xfId="11642" xr:uid="{00000000-0005-0000-0000-0000E1280000}"/>
    <cellStyle name="20% - Accent6 7 4 2 5" xfId="19597" xr:uid="{00000000-0005-0000-0000-0000E2280000}"/>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3" xfId="24004" xr:uid="{00000000-0005-0000-0000-0000E7280000}"/>
    <cellStyle name="20% - Accent6 7 4 3 3" xfId="12520" xr:uid="{00000000-0005-0000-0000-0000E8280000}"/>
    <cellStyle name="20% - Accent6 7 4 3 4" xfId="20475" xr:uid="{00000000-0005-0000-0000-0000E9280000}"/>
    <cellStyle name="20% - Accent6 7 4 4" xfId="6325" xr:uid="{00000000-0005-0000-0000-0000EA280000}"/>
    <cellStyle name="20% - Accent6 7 4 4 2" xfId="14300" xr:uid="{00000000-0005-0000-0000-0000EB280000}"/>
    <cellStyle name="20% - Accent6 7 4 4 3" xfId="22247" xr:uid="{00000000-0005-0000-0000-0000EC280000}"/>
    <cellStyle name="20% - Accent6 7 4 5" xfId="9868" xr:uid="{00000000-0005-0000-0000-0000ED280000}"/>
    <cellStyle name="20% - Accent6 7 4 5 2" xfId="17826" xr:uid="{00000000-0005-0000-0000-0000EE280000}"/>
    <cellStyle name="20% - Accent6 7 4 5 3" xfId="25770" xr:uid="{00000000-0005-0000-0000-0000EF280000}"/>
    <cellStyle name="20% - Accent6 7 4 6" xfId="10764" xr:uid="{00000000-0005-0000-0000-0000F0280000}"/>
    <cellStyle name="20% - Accent6 7 4 7" xfId="18719" xr:uid="{00000000-0005-0000-0000-0000F1280000}"/>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3" xfId="24385" xr:uid="{00000000-0005-0000-0000-0000F7280000}"/>
    <cellStyle name="20% - Accent6 7 5 2 3" xfId="12901" xr:uid="{00000000-0005-0000-0000-0000F8280000}"/>
    <cellStyle name="20% - Accent6 7 5 2 4" xfId="20856" xr:uid="{00000000-0005-0000-0000-0000F9280000}"/>
    <cellStyle name="20% - Accent6 7 5 3" xfId="6709" xr:uid="{00000000-0005-0000-0000-0000FA280000}"/>
    <cellStyle name="20% - Accent6 7 5 3 2" xfId="14681" xr:uid="{00000000-0005-0000-0000-0000FB280000}"/>
    <cellStyle name="20% - Accent6 7 5 3 3" xfId="22628" xr:uid="{00000000-0005-0000-0000-0000FC280000}"/>
    <cellStyle name="20% - Accent6 7 5 4" xfId="11145" xr:uid="{00000000-0005-0000-0000-0000FD280000}"/>
    <cellStyle name="20% - Accent6 7 5 5" xfId="19100" xr:uid="{00000000-0005-0000-0000-0000FE280000}"/>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3" xfId="23507" xr:uid="{00000000-0005-0000-0000-000003290000}"/>
    <cellStyle name="20% - Accent6 7 6 3" xfId="12023" xr:uid="{00000000-0005-0000-0000-000004290000}"/>
    <cellStyle name="20% - Accent6 7 6 4" xfId="19978" xr:uid="{00000000-0005-0000-0000-000005290000}"/>
    <cellStyle name="20% - Accent6 7 7" xfId="5818" xr:uid="{00000000-0005-0000-0000-000006290000}"/>
    <cellStyle name="20% - Accent6 7 7 2" xfId="13802" xr:uid="{00000000-0005-0000-0000-000007290000}"/>
    <cellStyle name="20% - Accent6 7 7 3" xfId="21750" xr:uid="{00000000-0005-0000-0000-000008290000}"/>
    <cellStyle name="20% - Accent6 7 8" xfId="9371" xr:uid="{00000000-0005-0000-0000-000009290000}"/>
    <cellStyle name="20% - Accent6 7 8 2" xfId="17329" xr:uid="{00000000-0005-0000-0000-00000A290000}"/>
    <cellStyle name="20% - Accent6 7 8 3" xfId="25273" xr:uid="{00000000-0005-0000-0000-00000B290000}"/>
    <cellStyle name="20% - Accent6 7 9" xfId="10267" xr:uid="{00000000-0005-0000-0000-00000C290000}"/>
    <cellStyle name="20% - Accent6 7_Exh G" xfId="2655" xr:uid="{00000000-0005-0000-0000-00000D290000}"/>
    <cellStyle name="20% - Accent6 8" xfId="323" xr:uid="{00000000-0005-0000-0000-00000E290000}"/>
    <cellStyle name="20% - Accent6 8 10" xfId="18226" xr:uid="{00000000-0005-0000-0000-00000F290000}"/>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3" xfId="24391" xr:uid="{00000000-0005-0000-0000-000016290000}"/>
    <cellStyle name="20% - Accent6 8 2 2 2 2 3" xfId="12907" xr:uid="{00000000-0005-0000-0000-000017290000}"/>
    <cellStyle name="20% - Accent6 8 2 2 2 2 4" xfId="20862" xr:uid="{00000000-0005-0000-0000-000018290000}"/>
    <cellStyle name="20% - Accent6 8 2 2 2 3" xfId="6715" xr:uid="{00000000-0005-0000-0000-000019290000}"/>
    <cellStyle name="20% - Accent6 8 2 2 2 3 2" xfId="14687" xr:uid="{00000000-0005-0000-0000-00001A290000}"/>
    <cellStyle name="20% - Accent6 8 2 2 2 3 3" xfId="22634" xr:uid="{00000000-0005-0000-0000-00001B290000}"/>
    <cellStyle name="20% - Accent6 8 2 2 2 4" xfId="11151" xr:uid="{00000000-0005-0000-0000-00001C290000}"/>
    <cellStyle name="20% - Accent6 8 2 2 2 5" xfId="19106" xr:uid="{00000000-0005-0000-0000-00001D290000}"/>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3" xfId="23513" xr:uid="{00000000-0005-0000-0000-000022290000}"/>
    <cellStyle name="20% - Accent6 8 2 2 3 3" xfId="12029" xr:uid="{00000000-0005-0000-0000-000023290000}"/>
    <cellStyle name="20% - Accent6 8 2 2 3 4" xfId="19984" xr:uid="{00000000-0005-0000-0000-000024290000}"/>
    <cellStyle name="20% - Accent6 8 2 2 4" xfId="5824" xr:uid="{00000000-0005-0000-0000-000025290000}"/>
    <cellStyle name="20% - Accent6 8 2 2 4 2" xfId="13808" xr:uid="{00000000-0005-0000-0000-000026290000}"/>
    <cellStyle name="20% - Accent6 8 2 2 4 3" xfId="21756" xr:uid="{00000000-0005-0000-0000-000027290000}"/>
    <cellStyle name="20% - Accent6 8 2 2 5" xfId="9377" xr:uid="{00000000-0005-0000-0000-000028290000}"/>
    <cellStyle name="20% - Accent6 8 2 2 5 2" xfId="17335" xr:uid="{00000000-0005-0000-0000-000029290000}"/>
    <cellStyle name="20% - Accent6 8 2 2 5 3" xfId="25279" xr:uid="{00000000-0005-0000-0000-00002A290000}"/>
    <cellStyle name="20% - Accent6 8 2 2 6" xfId="10273" xr:uid="{00000000-0005-0000-0000-00002B290000}"/>
    <cellStyle name="20% - Accent6 8 2 2 7" xfId="18228" xr:uid="{00000000-0005-0000-0000-00002C290000}"/>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3" xfId="24390" xr:uid="{00000000-0005-0000-0000-000032290000}"/>
    <cellStyle name="20% - Accent6 8 2 3 2 3" xfId="12906" xr:uid="{00000000-0005-0000-0000-000033290000}"/>
    <cellStyle name="20% - Accent6 8 2 3 2 4" xfId="20861" xr:uid="{00000000-0005-0000-0000-000034290000}"/>
    <cellStyle name="20% - Accent6 8 2 3 3" xfId="6714" xr:uid="{00000000-0005-0000-0000-000035290000}"/>
    <cellStyle name="20% - Accent6 8 2 3 3 2" xfId="14686" xr:uid="{00000000-0005-0000-0000-000036290000}"/>
    <cellStyle name="20% - Accent6 8 2 3 3 3" xfId="22633" xr:uid="{00000000-0005-0000-0000-000037290000}"/>
    <cellStyle name="20% - Accent6 8 2 3 4" xfId="11150" xr:uid="{00000000-0005-0000-0000-000038290000}"/>
    <cellStyle name="20% - Accent6 8 2 3 5" xfId="19105" xr:uid="{00000000-0005-0000-0000-000039290000}"/>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3" xfId="23512" xr:uid="{00000000-0005-0000-0000-00003E290000}"/>
    <cellStyle name="20% - Accent6 8 2 4 3" xfId="12028" xr:uid="{00000000-0005-0000-0000-00003F290000}"/>
    <cellStyle name="20% - Accent6 8 2 4 4" xfId="19983" xr:uid="{00000000-0005-0000-0000-000040290000}"/>
    <cellStyle name="20% - Accent6 8 2 5" xfId="5823" xr:uid="{00000000-0005-0000-0000-000041290000}"/>
    <cellStyle name="20% - Accent6 8 2 5 2" xfId="13807" xr:uid="{00000000-0005-0000-0000-000042290000}"/>
    <cellStyle name="20% - Accent6 8 2 5 3" xfId="21755" xr:uid="{00000000-0005-0000-0000-000043290000}"/>
    <cellStyle name="20% - Accent6 8 2 6" xfId="9376" xr:uid="{00000000-0005-0000-0000-000044290000}"/>
    <cellStyle name="20% - Accent6 8 2 6 2" xfId="17334" xr:uid="{00000000-0005-0000-0000-000045290000}"/>
    <cellStyle name="20% - Accent6 8 2 6 3" xfId="25278" xr:uid="{00000000-0005-0000-0000-000046290000}"/>
    <cellStyle name="20% - Accent6 8 2 7" xfId="10272" xr:uid="{00000000-0005-0000-0000-000047290000}"/>
    <cellStyle name="20% - Accent6 8 2 8" xfId="18227" xr:uid="{00000000-0005-0000-0000-000048290000}"/>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3" xfId="24392" xr:uid="{00000000-0005-0000-0000-00004F290000}"/>
    <cellStyle name="20% - Accent6 8 3 2 2 3" xfId="12908" xr:uid="{00000000-0005-0000-0000-000050290000}"/>
    <cellStyle name="20% - Accent6 8 3 2 2 4" xfId="20863" xr:uid="{00000000-0005-0000-0000-000051290000}"/>
    <cellStyle name="20% - Accent6 8 3 2 3" xfId="6716" xr:uid="{00000000-0005-0000-0000-000052290000}"/>
    <cellStyle name="20% - Accent6 8 3 2 3 2" xfId="14688" xr:uid="{00000000-0005-0000-0000-000053290000}"/>
    <cellStyle name="20% - Accent6 8 3 2 3 3" xfId="22635" xr:uid="{00000000-0005-0000-0000-000054290000}"/>
    <cellStyle name="20% - Accent6 8 3 2 4" xfId="11152" xr:uid="{00000000-0005-0000-0000-000055290000}"/>
    <cellStyle name="20% - Accent6 8 3 2 5" xfId="19107" xr:uid="{00000000-0005-0000-0000-000056290000}"/>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3" xfId="23514" xr:uid="{00000000-0005-0000-0000-00005B290000}"/>
    <cellStyle name="20% - Accent6 8 3 3 3" xfId="12030" xr:uid="{00000000-0005-0000-0000-00005C290000}"/>
    <cellStyle name="20% - Accent6 8 3 3 4" xfId="19985" xr:uid="{00000000-0005-0000-0000-00005D290000}"/>
    <cellStyle name="20% - Accent6 8 3 4" xfId="5825" xr:uid="{00000000-0005-0000-0000-00005E290000}"/>
    <cellStyle name="20% - Accent6 8 3 4 2" xfId="13809" xr:uid="{00000000-0005-0000-0000-00005F290000}"/>
    <cellStyle name="20% - Accent6 8 3 4 3" xfId="21757" xr:uid="{00000000-0005-0000-0000-000060290000}"/>
    <cellStyle name="20% - Accent6 8 3 5" xfId="9378" xr:uid="{00000000-0005-0000-0000-000061290000}"/>
    <cellStyle name="20% - Accent6 8 3 5 2" xfId="17336" xr:uid="{00000000-0005-0000-0000-000062290000}"/>
    <cellStyle name="20% - Accent6 8 3 5 3" xfId="25280" xr:uid="{00000000-0005-0000-0000-000063290000}"/>
    <cellStyle name="20% - Accent6 8 3 6" xfId="10274" xr:uid="{00000000-0005-0000-0000-000064290000}"/>
    <cellStyle name="20% - Accent6 8 3 7" xfId="18229" xr:uid="{00000000-0005-0000-0000-000065290000}"/>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3" xfId="24883" xr:uid="{00000000-0005-0000-0000-00006C290000}"/>
    <cellStyle name="20% - Accent6 8 4 2 2 3" xfId="13399" xr:uid="{00000000-0005-0000-0000-00006D290000}"/>
    <cellStyle name="20% - Accent6 8 4 2 2 4" xfId="21354" xr:uid="{00000000-0005-0000-0000-00006E290000}"/>
    <cellStyle name="20% - Accent6 8 4 2 3" xfId="7207" xr:uid="{00000000-0005-0000-0000-00006F290000}"/>
    <cellStyle name="20% - Accent6 8 4 2 3 2" xfId="15179" xr:uid="{00000000-0005-0000-0000-000070290000}"/>
    <cellStyle name="20% - Accent6 8 4 2 3 3" xfId="23126" xr:uid="{00000000-0005-0000-0000-000071290000}"/>
    <cellStyle name="20% - Accent6 8 4 2 4" xfId="11643" xr:uid="{00000000-0005-0000-0000-000072290000}"/>
    <cellStyle name="20% - Accent6 8 4 2 5" xfId="19598" xr:uid="{00000000-0005-0000-0000-000073290000}"/>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3" xfId="24005" xr:uid="{00000000-0005-0000-0000-000078290000}"/>
    <cellStyle name="20% - Accent6 8 4 3 3" xfId="12521" xr:uid="{00000000-0005-0000-0000-000079290000}"/>
    <cellStyle name="20% - Accent6 8 4 3 4" xfId="20476" xr:uid="{00000000-0005-0000-0000-00007A290000}"/>
    <cellStyle name="20% - Accent6 8 4 4" xfId="6326" xr:uid="{00000000-0005-0000-0000-00007B290000}"/>
    <cellStyle name="20% - Accent6 8 4 4 2" xfId="14301" xr:uid="{00000000-0005-0000-0000-00007C290000}"/>
    <cellStyle name="20% - Accent6 8 4 4 3" xfId="22248" xr:uid="{00000000-0005-0000-0000-00007D290000}"/>
    <cellStyle name="20% - Accent6 8 4 5" xfId="9869" xr:uid="{00000000-0005-0000-0000-00007E290000}"/>
    <cellStyle name="20% - Accent6 8 4 5 2" xfId="17827" xr:uid="{00000000-0005-0000-0000-00007F290000}"/>
    <cellStyle name="20% - Accent6 8 4 5 3" xfId="25771" xr:uid="{00000000-0005-0000-0000-000080290000}"/>
    <cellStyle name="20% - Accent6 8 4 6" xfId="10765" xr:uid="{00000000-0005-0000-0000-000081290000}"/>
    <cellStyle name="20% - Accent6 8 4 7" xfId="18720" xr:uid="{00000000-0005-0000-0000-000082290000}"/>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3" xfId="24389" xr:uid="{00000000-0005-0000-0000-000088290000}"/>
    <cellStyle name="20% - Accent6 8 5 2 3" xfId="12905" xr:uid="{00000000-0005-0000-0000-000089290000}"/>
    <cellStyle name="20% - Accent6 8 5 2 4" xfId="20860" xr:uid="{00000000-0005-0000-0000-00008A290000}"/>
    <cellStyle name="20% - Accent6 8 5 3" xfId="6713" xr:uid="{00000000-0005-0000-0000-00008B290000}"/>
    <cellStyle name="20% - Accent6 8 5 3 2" xfId="14685" xr:uid="{00000000-0005-0000-0000-00008C290000}"/>
    <cellStyle name="20% - Accent6 8 5 3 3" xfId="22632" xr:uid="{00000000-0005-0000-0000-00008D290000}"/>
    <cellStyle name="20% - Accent6 8 5 4" xfId="11149" xr:uid="{00000000-0005-0000-0000-00008E290000}"/>
    <cellStyle name="20% - Accent6 8 5 5" xfId="19104" xr:uid="{00000000-0005-0000-0000-00008F290000}"/>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3" xfId="23511" xr:uid="{00000000-0005-0000-0000-000094290000}"/>
    <cellStyle name="20% - Accent6 8 6 3" xfId="12027" xr:uid="{00000000-0005-0000-0000-000095290000}"/>
    <cellStyle name="20% - Accent6 8 6 4" xfId="19982" xr:uid="{00000000-0005-0000-0000-000096290000}"/>
    <cellStyle name="20% - Accent6 8 7" xfId="5822" xr:uid="{00000000-0005-0000-0000-000097290000}"/>
    <cellStyle name="20% - Accent6 8 7 2" xfId="13806" xr:uid="{00000000-0005-0000-0000-000098290000}"/>
    <cellStyle name="20% - Accent6 8 7 3" xfId="21754" xr:uid="{00000000-0005-0000-0000-000099290000}"/>
    <cellStyle name="20% - Accent6 8 8" xfId="9375" xr:uid="{00000000-0005-0000-0000-00009A290000}"/>
    <cellStyle name="20% - Accent6 8 8 2" xfId="17333" xr:uid="{00000000-0005-0000-0000-00009B290000}"/>
    <cellStyle name="20% - Accent6 8 8 3" xfId="25277" xr:uid="{00000000-0005-0000-0000-00009C290000}"/>
    <cellStyle name="20% - Accent6 8 9" xfId="10271" xr:uid="{00000000-0005-0000-0000-00009D290000}"/>
    <cellStyle name="20% - Accent6 8_Exh G" xfId="2665" xr:uid="{00000000-0005-0000-0000-00009E290000}"/>
    <cellStyle name="20% - Accent6 9" xfId="327" xr:uid="{00000000-0005-0000-0000-00009F290000}"/>
    <cellStyle name="20% - Accent6 9 10" xfId="18230" xr:uid="{00000000-0005-0000-0000-0000A0290000}"/>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3" xfId="24395" xr:uid="{00000000-0005-0000-0000-0000A7290000}"/>
    <cellStyle name="20% - Accent6 9 2 2 2 2 3" xfId="12911" xr:uid="{00000000-0005-0000-0000-0000A8290000}"/>
    <cellStyle name="20% - Accent6 9 2 2 2 2 4" xfId="20866" xr:uid="{00000000-0005-0000-0000-0000A9290000}"/>
    <cellStyle name="20% - Accent6 9 2 2 2 3" xfId="6719" xr:uid="{00000000-0005-0000-0000-0000AA290000}"/>
    <cellStyle name="20% - Accent6 9 2 2 2 3 2" xfId="14691" xr:uid="{00000000-0005-0000-0000-0000AB290000}"/>
    <cellStyle name="20% - Accent6 9 2 2 2 3 3" xfId="22638" xr:uid="{00000000-0005-0000-0000-0000AC290000}"/>
    <cellStyle name="20% - Accent6 9 2 2 2 4" xfId="11155" xr:uid="{00000000-0005-0000-0000-0000AD290000}"/>
    <cellStyle name="20% - Accent6 9 2 2 2 5" xfId="19110" xr:uid="{00000000-0005-0000-0000-0000AE290000}"/>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3" xfId="23517" xr:uid="{00000000-0005-0000-0000-0000B3290000}"/>
    <cellStyle name="20% - Accent6 9 2 2 3 3" xfId="12033" xr:uid="{00000000-0005-0000-0000-0000B4290000}"/>
    <cellStyle name="20% - Accent6 9 2 2 3 4" xfId="19988" xr:uid="{00000000-0005-0000-0000-0000B5290000}"/>
    <cellStyle name="20% - Accent6 9 2 2 4" xfId="5828" xr:uid="{00000000-0005-0000-0000-0000B6290000}"/>
    <cellStyle name="20% - Accent6 9 2 2 4 2" xfId="13812" xr:uid="{00000000-0005-0000-0000-0000B7290000}"/>
    <cellStyle name="20% - Accent6 9 2 2 4 3" xfId="21760" xr:uid="{00000000-0005-0000-0000-0000B8290000}"/>
    <cellStyle name="20% - Accent6 9 2 2 5" xfId="9381" xr:uid="{00000000-0005-0000-0000-0000B9290000}"/>
    <cellStyle name="20% - Accent6 9 2 2 5 2" xfId="17339" xr:uid="{00000000-0005-0000-0000-0000BA290000}"/>
    <cellStyle name="20% - Accent6 9 2 2 5 3" xfId="25283" xr:uid="{00000000-0005-0000-0000-0000BB290000}"/>
    <cellStyle name="20% - Accent6 9 2 2 6" xfId="10277" xr:uid="{00000000-0005-0000-0000-0000BC290000}"/>
    <cellStyle name="20% - Accent6 9 2 2 7" xfId="18232" xr:uid="{00000000-0005-0000-0000-0000BD290000}"/>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3" xfId="24394" xr:uid="{00000000-0005-0000-0000-0000C3290000}"/>
    <cellStyle name="20% - Accent6 9 2 3 2 3" xfId="12910" xr:uid="{00000000-0005-0000-0000-0000C4290000}"/>
    <cellStyle name="20% - Accent6 9 2 3 2 4" xfId="20865" xr:uid="{00000000-0005-0000-0000-0000C5290000}"/>
    <cellStyle name="20% - Accent6 9 2 3 3" xfId="6718" xr:uid="{00000000-0005-0000-0000-0000C6290000}"/>
    <cellStyle name="20% - Accent6 9 2 3 3 2" xfId="14690" xr:uid="{00000000-0005-0000-0000-0000C7290000}"/>
    <cellStyle name="20% - Accent6 9 2 3 3 3" xfId="22637" xr:uid="{00000000-0005-0000-0000-0000C8290000}"/>
    <cellStyle name="20% - Accent6 9 2 3 4" xfId="11154" xr:uid="{00000000-0005-0000-0000-0000C9290000}"/>
    <cellStyle name="20% - Accent6 9 2 3 5" xfId="19109" xr:uid="{00000000-0005-0000-0000-0000CA290000}"/>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3" xfId="23516" xr:uid="{00000000-0005-0000-0000-0000CF290000}"/>
    <cellStyle name="20% - Accent6 9 2 4 3" xfId="12032" xr:uid="{00000000-0005-0000-0000-0000D0290000}"/>
    <cellStyle name="20% - Accent6 9 2 4 4" xfId="19987" xr:uid="{00000000-0005-0000-0000-0000D1290000}"/>
    <cellStyle name="20% - Accent6 9 2 5" xfId="5827" xr:uid="{00000000-0005-0000-0000-0000D2290000}"/>
    <cellStyle name="20% - Accent6 9 2 5 2" xfId="13811" xr:uid="{00000000-0005-0000-0000-0000D3290000}"/>
    <cellStyle name="20% - Accent6 9 2 5 3" xfId="21759" xr:uid="{00000000-0005-0000-0000-0000D4290000}"/>
    <cellStyle name="20% - Accent6 9 2 6" xfId="9380" xr:uid="{00000000-0005-0000-0000-0000D5290000}"/>
    <cellStyle name="20% - Accent6 9 2 6 2" xfId="17338" xr:uid="{00000000-0005-0000-0000-0000D6290000}"/>
    <cellStyle name="20% - Accent6 9 2 6 3" xfId="25282" xr:uid="{00000000-0005-0000-0000-0000D7290000}"/>
    <cellStyle name="20% - Accent6 9 2 7" xfId="10276" xr:uid="{00000000-0005-0000-0000-0000D8290000}"/>
    <cellStyle name="20% - Accent6 9 2 8" xfId="18231" xr:uid="{00000000-0005-0000-0000-0000D9290000}"/>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3" xfId="24396" xr:uid="{00000000-0005-0000-0000-0000E0290000}"/>
    <cellStyle name="20% - Accent6 9 3 2 2 3" xfId="12912" xr:uid="{00000000-0005-0000-0000-0000E1290000}"/>
    <cellStyle name="20% - Accent6 9 3 2 2 4" xfId="20867" xr:uid="{00000000-0005-0000-0000-0000E2290000}"/>
    <cellStyle name="20% - Accent6 9 3 2 3" xfId="6720" xr:uid="{00000000-0005-0000-0000-0000E3290000}"/>
    <cellStyle name="20% - Accent6 9 3 2 3 2" xfId="14692" xr:uid="{00000000-0005-0000-0000-0000E4290000}"/>
    <cellStyle name="20% - Accent6 9 3 2 3 3" xfId="22639" xr:uid="{00000000-0005-0000-0000-0000E5290000}"/>
    <cellStyle name="20% - Accent6 9 3 2 4" xfId="11156" xr:uid="{00000000-0005-0000-0000-0000E6290000}"/>
    <cellStyle name="20% - Accent6 9 3 2 5" xfId="19111" xr:uid="{00000000-0005-0000-0000-0000E7290000}"/>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3" xfId="23518" xr:uid="{00000000-0005-0000-0000-0000EC290000}"/>
    <cellStyle name="20% - Accent6 9 3 3 3" xfId="12034" xr:uid="{00000000-0005-0000-0000-0000ED290000}"/>
    <cellStyle name="20% - Accent6 9 3 3 4" xfId="19989" xr:uid="{00000000-0005-0000-0000-0000EE290000}"/>
    <cellStyle name="20% - Accent6 9 3 4" xfId="5829" xr:uid="{00000000-0005-0000-0000-0000EF290000}"/>
    <cellStyle name="20% - Accent6 9 3 4 2" xfId="13813" xr:uid="{00000000-0005-0000-0000-0000F0290000}"/>
    <cellStyle name="20% - Accent6 9 3 4 3" xfId="21761" xr:uid="{00000000-0005-0000-0000-0000F1290000}"/>
    <cellStyle name="20% - Accent6 9 3 5" xfId="9382" xr:uid="{00000000-0005-0000-0000-0000F2290000}"/>
    <cellStyle name="20% - Accent6 9 3 5 2" xfId="17340" xr:uid="{00000000-0005-0000-0000-0000F3290000}"/>
    <cellStyle name="20% - Accent6 9 3 5 3" xfId="25284" xr:uid="{00000000-0005-0000-0000-0000F4290000}"/>
    <cellStyle name="20% - Accent6 9 3 6" xfId="10278" xr:uid="{00000000-0005-0000-0000-0000F5290000}"/>
    <cellStyle name="20% - Accent6 9 3 7" xfId="18233" xr:uid="{00000000-0005-0000-0000-0000F6290000}"/>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3" xfId="24884" xr:uid="{00000000-0005-0000-0000-0000FD290000}"/>
    <cellStyle name="20% - Accent6 9 4 2 2 3" xfId="13400" xr:uid="{00000000-0005-0000-0000-0000FE290000}"/>
    <cellStyle name="20% - Accent6 9 4 2 2 4" xfId="21355" xr:uid="{00000000-0005-0000-0000-0000FF290000}"/>
    <cellStyle name="20% - Accent6 9 4 2 3" xfId="7208" xr:uid="{00000000-0005-0000-0000-0000002A0000}"/>
    <cellStyle name="20% - Accent6 9 4 2 3 2" xfId="15180" xr:uid="{00000000-0005-0000-0000-0000012A0000}"/>
    <cellStyle name="20% - Accent6 9 4 2 3 3" xfId="23127" xr:uid="{00000000-0005-0000-0000-0000022A0000}"/>
    <cellStyle name="20% - Accent6 9 4 2 4" xfId="11644" xr:uid="{00000000-0005-0000-0000-0000032A0000}"/>
    <cellStyle name="20% - Accent6 9 4 2 5" xfId="19599" xr:uid="{00000000-0005-0000-0000-0000042A0000}"/>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3" xfId="24006" xr:uid="{00000000-0005-0000-0000-0000092A0000}"/>
    <cellStyle name="20% - Accent6 9 4 3 3" xfId="12522" xr:uid="{00000000-0005-0000-0000-00000A2A0000}"/>
    <cellStyle name="20% - Accent6 9 4 3 4" xfId="20477" xr:uid="{00000000-0005-0000-0000-00000B2A0000}"/>
    <cellStyle name="20% - Accent6 9 4 4" xfId="6327" xr:uid="{00000000-0005-0000-0000-00000C2A0000}"/>
    <cellStyle name="20% - Accent6 9 4 4 2" xfId="14302" xr:uid="{00000000-0005-0000-0000-00000D2A0000}"/>
    <cellStyle name="20% - Accent6 9 4 4 3" xfId="22249" xr:uid="{00000000-0005-0000-0000-00000E2A0000}"/>
    <cellStyle name="20% - Accent6 9 4 5" xfId="9870" xr:uid="{00000000-0005-0000-0000-00000F2A0000}"/>
    <cellStyle name="20% - Accent6 9 4 5 2" xfId="17828" xr:uid="{00000000-0005-0000-0000-0000102A0000}"/>
    <cellStyle name="20% - Accent6 9 4 5 3" xfId="25772" xr:uid="{00000000-0005-0000-0000-0000112A0000}"/>
    <cellStyle name="20% - Accent6 9 4 6" xfId="10766" xr:uid="{00000000-0005-0000-0000-0000122A0000}"/>
    <cellStyle name="20% - Accent6 9 4 7" xfId="18721" xr:uid="{00000000-0005-0000-0000-0000132A0000}"/>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3" xfId="24393" xr:uid="{00000000-0005-0000-0000-0000192A0000}"/>
    <cellStyle name="20% - Accent6 9 5 2 3" xfId="12909" xr:uid="{00000000-0005-0000-0000-00001A2A0000}"/>
    <cellStyle name="20% - Accent6 9 5 2 4" xfId="20864" xr:uid="{00000000-0005-0000-0000-00001B2A0000}"/>
    <cellStyle name="20% - Accent6 9 5 3" xfId="6717" xr:uid="{00000000-0005-0000-0000-00001C2A0000}"/>
    <cellStyle name="20% - Accent6 9 5 3 2" xfId="14689" xr:uid="{00000000-0005-0000-0000-00001D2A0000}"/>
    <cellStyle name="20% - Accent6 9 5 3 3" xfId="22636" xr:uid="{00000000-0005-0000-0000-00001E2A0000}"/>
    <cellStyle name="20% - Accent6 9 5 4" xfId="11153" xr:uid="{00000000-0005-0000-0000-00001F2A0000}"/>
    <cellStyle name="20% - Accent6 9 5 5" xfId="19108" xr:uid="{00000000-0005-0000-0000-0000202A0000}"/>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3" xfId="23515" xr:uid="{00000000-0005-0000-0000-0000252A0000}"/>
    <cellStyle name="20% - Accent6 9 6 3" xfId="12031" xr:uid="{00000000-0005-0000-0000-0000262A0000}"/>
    <cellStyle name="20% - Accent6 9 6 4" xfId="19986" xr:uid="{00000000-0005-0000-0000-0000272A0000}"/>
    <cellStyle name="20% - Accent6 9 7" xfId="5826" xr:uid="{00000000-0005-0000-0000-0000282A0000}"/>
    <cellStyle name="20% - Accent6 9 7 2" xfId="13810" xr:uid="{00000000-0005-0000-0000-0000292A0000}"/>
    <cellStyle name="20% - Accent6 9 7 3" xfId="21758" xr:uid="{00000000-0005-0000-0000-00002A2A0000}"/>
    <cellStyle name="20% - Accent6 9 8" xfId="9379" xr:uid="{00000000-0005-0000-0000-00002B2A0000}"/>
    <cellStyle name="20% - Accent6 9 8 2" xfId="17337" xr:uid="{00000000-0005-0000-0000-00002C2A0000}"/>
    <cellStyle name="20% - Accent6 9 8 3" xfId="25281" xr:uid="{00000000-0005-0000-0000-00002D2A0000}"/>
    <cellStyle name="20% - Accent6 9 9" xfId="10275" xr:uid="{00000000-0005-0000-0000-00002E2A0000}"/>
    <cellStyle name="20% - Accent6 9_Exh G" xfId="2675" xr:uid="{00000000-0005-0000-0000-00002F2A0000}"/>
    <cellStyle name="40% - Accent1 10" xfId="331" xr:uid="{00000000-0005-0000-0000-0000302A0000}"/>
    <cellStyle name="40% - Accent1 10 10" xfId="18234" xr:uid="{00000000-0005-0000-0000-0000312A0000}"/>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3" xfId="24399" xr:uid="{00000000-0005-0000-0000-0000382A0000}"/>
    <cellStyle name="40% - Accent1 10 2 2 2 2 3" xfId="12915" xr:uid="{00000000-0005-0000-0000-0000392A0000}"/>
    <cellStyle name="40% - Accent1 10 2 2 2 2 4" xfId="20870" xr:uid="{00000000-0005-0000-0000-00003A2A0000}"/>
    <cellStyle name="40% - Accent1 10 2 2 2 3" xfId="6723" xr:uid="{00000000-0005-0000-0000-00003B2A0000}"/>
    <cellStyle name="40% - Accent1 10 2 2 2 3 2" xfId="14695" xr:uid="{00000000-0005-0000-0000-00003C2A0000}"/>
    <cellStyle name="40% - Accent1 10 2 2 2 3 3" xfId="22642" xr:uid="{00000000-0005-0000-0000-00003D2A0000}"/>
    <cellStyle name="40% - Accent1 10 2 2 2 4" xfId="11159" xr:uid="{00000000-0005-0000-0000-00003E2A0000}"/>
    <cellStyle name="40% - Accent1 10 2 2 2 5" xfId="19114" xr:uid="{00000000-0005-0000-0000-00003F2A0000}"/>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3" xfId="23521" xr:uid="{00000000-0005-0000-0000-0000442A0000}"/>
    <cellStyle name="40% - Accent1 10 2 2 3 3" xfId="12037" xr:uid="{00000000-0005-0000-0000-0000452A0000}"/>
    <cellStyle name="40% - Accent1 10 2 2 3 4" xfId="19992" xr:uid="{00000000-0005-0000-0000-0000462A0000}"/>
    <cellStyle name="40% - Accent1 10 2 2 4" xfId="5832" xr:uid="{00000000-0005-0000-0000-0000472A0000}"/>
    <cellStyle name="40% - Accent1 10 2 2 4 2" xfId="13816" xr:uid="{00000000-0005-0000-0000-0000482A0000}"/>
    <cellStyle name="40% - Accent1 10 2 2 4 3" xfId="21764" xr:uid="{00000000-0005-0000-0000-0000492A0000}"/>
    <cellStyle name="40% - Accent1 10 2 2 5" xfId="9385" xr:uid="{00000000-0005-0000-0000-00004A2A0000}"/>
    <cellStyle name="40% - Accent1 10 2 2 5 2" xfId="17343" xr:uid="{00000000-0005-0000-0000-00004B2A0000}"/>
    <cellStyle name="40% - Accent1 10 2 2 5 3" xfId="25287" xr:uid="{00000000-0005-0000-0000-00004C2A0000}"/>
    <cellStyle name="40% - Accent1 10 2 2 6" xfId="10281" xr:uid="{00000000-0005-0000-0000-00004D2A0000}"/>
    <cellStyle name="40% - Accent1 10 2 2 7" xfId="18236" xr:uid="{00000000-0005-0000-0000-00004E2A0000}"/>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3" xfId="24398" xr:uid="{00000000-0005-0000-0000-0000542A0000}"/>
    <cellStyle name="40% - Accent1 10 2 3 2 3" xfId="12914" xr:uid="{00000000-0005-0000-0000-0000552A0000}"/>
    <cellStyle name="40% - Accent1 10 2 3 2 4" xfId="20869" xr:uid="{00000000-0005-0000-0000-0000562A0000}"/>
    <cellStyle name="40% - Accent1 10 2 3 3" xfId="6722" xr:uid="{00000000-0005-0000-0000-0000572A0000}"/>
    <cellStyle name="40% - Accent1 10 2 3 3 2" xfId="14694" xr:uid="{00000000-0005-0000-0000-0000582A0000}"/>
    <cellStyle name="40% - Accent1 10 2 3 3 3" xfId="22641" xr:uid="{00000000-0005-0000-0000-0000592A0000}"/>
    <cellStyle name="40% - Accent1 10 2 3 4" xfId="11158" xr:uid="{00000000-0005-0000-0000-00005A2A0000}"/>
    <cellStyle name="40% - Accent1 10 2 3 5" xfId="19113" xr:uid="{00000000-0005-0000-0000-00005B2A0000}"/>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3" xfId="23520" xr:uid="{00000000-0005-0000-0000-0000602A0000}"/>
    <cellStyle name="40% - Accent1 10 2 4 3" xfId="12036" xr:uid="{00000000-0005-0000-0000-0000612A0000}"/>
    <cellStyle name="40% - Accent1 10 2 4 4" xfId="19991" xr:uid="{00000000-0005-0000-0000-0000622A0000}"/>
    <cellStyle name="40% - Accent1 10 2 5" xfId="5831" xr:uid="{00000000-0005-0000-0000-0000632A0000}"/>
    <cellStyle name="40% - Accent1 10 2 5 2" xfId="13815" xr:uid="{00000000-0005-0000-0000-0000642A0000}"/>
    <cellStyle name="40% - Accent1 10 2 5 3" xfId="21763" xr:uid="{00000000-0005-0000-0000-0000652A0000}"/>
    <cellStyle name="40% - Accent1 10 2 6" xfId="9384" xr:uid="{00000000-0005-0000-0000-0000662A0000}"/>
    <cellStyle name="40% - Accent1 10 2 6 2" xfId="17342" xr:uid="{00000000-0005-0000-0000-0000672A0000}"/>
    <cellStyle name="40% - Accent1 10 2 6 3" xfId="25286" xr:uid="{00000000-0005-0000-0000-0000682A0000}"/>
    <cellStyle name="40% - Accent1 10 2 7" xfId="10280" xr:uid="{00000000-0005-0000-0000-0000692A0000}"/>
    <cellStyle name="40% - Accent1 10 2 8" xfId="18235" xr:uid="{00000000-0005-0000-0000-00006A2A0000}"/>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3" xfId="24400" xr:uid="{00000000-0005-0000-0000-0000712A0000}"/>
    <cellStyle name="40% - Accent1 10 3 2 2 3" xfId="12916" xr:uid="{00000000-0005-0000-0000-0000722A0000}"/>
    <cellStyle name="40% - Accent1 10 3 2 2 4" xfId="20871" xr:uid="{00000000-0005-0000-0000-0000732A0000}"/>
    <cellStyle name="40% - Accent1 10 3 2 3" xfId="6724" xr:uid="{00000000-0005-0000-0000-0000742A0000}"/>
    <cellStyle name="40% - Accent1 10 3 2 3 2" xfId="14696" xr:uid="{00000000-0005-0000-0000-0000752A0000}"/>
    <cellStyle name="40% - Accent1 10 3 2 3 3" xfId="22643" xr:uid="{00000000-0005-0000-0000-0000762A0000}"/>
    <cellStyle name="40% - Accent1 10 3 2 4" xfId="11160" xr:uid="{00000000-0005-0000-0000-0000772A0000}"/>
    <cellStyle name="40% - Accent1 10 3 2 5" xfId="19115" xr:uid="{00000000-0005-0000-0000-0000782A0000}"/>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3" xfId="23522" xr:uid="{00000000-0005-0000-0000-00007D2A0000}"/>
    <cellStyle name="40% - Accent1 10 3 3 3" xfId="12038" xr:uid="{00000000-0005-0000-0000-00007E2A0000}"/>
    <cellStyle name="40% - Accent1 10 3 3 4" xfId="19993" xr:uid="{00000000-0005-0000-0000-00007F2A0000}"/>
    <cellStyle name="40% - Accent1 10 3 4" xfId="5833" xr:uid="{00000000-0005-0000-0000-0000802A0000}"/>
    <cellStyle name="40% - Accent1 10 3 4 2" xfId="13817" xr:uid="{00000000-0005-0000-0000-0000812A0000}"/>
    <cellStyle name="40% - Accent1 10 3 4 3" xfId="21765" xr:uid="{00000000-0005-0000-0000-0000822A0000}"/>
    <cellStyle name="40% - Accent1 10 3 5" xfId="9386" xr:uid="{00000000-0005-0000-0000-0000832A0000}"/>
    <cellStyle name="40% - Accent1 10 3 5 2" xfId="17344" xr:uid="{00000000-0005-0000-0000-0000842A0000}"/>
    <cellStyle name="40% - Accent1 10 3 5 3" xfId="25288" xr:uid="{00000000-0005-0000-0000-0000852A0000}"/>
    <cellStyle name="40% - Accent1 10 3 6" xfId="10282" xr:uid="{00000000-0005-0000-0000-0000862A0000}"/>
    <cellStyle name="40% - Accent1 10 3 7" xfId="18237" xr:uid="{00000000-0005-0000-0000-0000872A0000}"/>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3" xfId="24397" xr:uid="{00000000-0005-0000-0000-00008E2A0000}"/>
    <cellStyle name="40% - Accent1 10 5 2 3" xfId="12913" xr:uid="{00000000-0005-0000-0000-00008F2A0000}"/>
    <cellStyle name="40% - Accent1 10 5 2 4" xfId="20868" xr:uid="{00000000-0005-0000-0000-0000902A0000}"/>
    <cellStyle name="40% - Accent1 10 5 3" xfId="6721" xr:uid="{00000000-0005-0000-0000-0000912A0000}"/>
    <cellStyle name="40% - Accent1 10 5 3 2" xfId="14693" xr:uid="{00000000-0005-0000-0000-0000922A0000}"/>
    <cellStyle name="40% - Accent1 10 5 3 3" xfId="22640" xr:uid="{00000000-0005-0000-0000-0000932A0000}"/>
    <cellStyle name="40% - Accent1 10 5 4" xfId="11157" xr:uid="{00000000-0005-0000-0000-0000942A0000}"/>
    <cellStyle name="40% - Accent1 10 5 5" xfId="19112" xr:uid="{00000000-0005-0000-0000-0000952A0000}"/>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3" xfId="23519" xr:uid="{00000000-0005-0000-0000-00009A2A0000}"/>
    <cellStyle name="40% - Accent1 10 6 3" xfId="12035" xr:uid="{00000000-0005-0000-0000-00009B2A0000}"/>
    <cellStyle name="40% - Accent1 10 6 4" xfId="19990" xr:uid="{00000000-0005-0000-0000-00009C2A0000}"/>
    <cellStyle name="40% - Accent1 10 7" xfId="5830" xr:uid="{00000000-0005-0000-0000-00009D2A0000}"/>
    <cellStyle name="40% - Accent1 10 7 2" xfId="13814" xr:uid="{00000000-0005-0000-0000-00009E2A0000}"/>
    <cellStyle name="40% - Accent1 10 7 3" xfId="21762" xr:uid="{00000000-0005-0000-0000-00009F2A0000}"/>
    <cellStyle name="40% - Accent1 10 8" xfId="9383" xr:uid="{00000000-0005-0000-0000-0000A02A0000}"/>
    <cellStyle name="40% - Accent1 10 8 2" xfId="17341" xr:uid="{00000000-0005-0000-0000-0000A12A0000}"/>
    <cellStyle name="40% - Accent1 10 8 3" xfId="25285" xr:uid="{00000000-0005-0000-0000-0000A22A0000}"/>
    <cellStyle name="40% - Accent1 10 9" xfId="10279" xr:uid="{00000000-0005-0000-0000-0000A32A0000}"/>
    <cellStyle name="40% - Accent1 10_Exh G" xfId="2685" xr:uid="{00000000-0005-0000-0000-0000A42A0000}"/>
    <cellStyle name="40% - Accent1 11" xfId="335" xr:uid="{00000000-0005-0000-0000-0000A52A0000}"/>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3" xfId="24403" xr:uid="{00000000-0005-0000-0000-0000AC2A0000}"/>
    <cellStyle name="40% - Accent1 11 2 2 2 2 3" xfId="12919" xr:uid="{00000000-0005-0000-0000-0000AD2A0000}"/>
    <cellStyle name="40% - Accent1 11 2 2 2 2 4" xfId="20874" xr:uid="{00000000-0005-0000-0000-0000AE2A0000}"/>
    <cellStyle name="40% - Accent1 11 2 2 2 3" xfId="6727" xr:uid="{00000000-0005-0000-0000-0000AF2A0000}"/>
    <cellStyle name="40% - Accent1 11 2 2 2 3 2" xfId="14699" xr:uid="{00000000-0005-0000-0000-0000B02A0000}"/>
    <cellStyle name="40% - Accent1 11 2 2 2 3 3" xfId="22646" xr:uid="{00000000-0005-0000-0000-0000B12A0000}"/>
    <cellStyle name="40% - Accent1 11 2 2 2 4" xfId="11163" xr:uid="{00000000-0005-0000-0000-0000B22A0000}"/>
    <cellStyle name="40% - Accent1 11 2 2 2 5" xfId="19118" xr:uid="{00000000-0005-0000-0000-0000B32A0000}"/>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3" xfId="23525" xr:uid="{00000000-0005-0000-0000-0000B82A0000}"/>
    <cellStyle name="40% - Accent1 11 2 2 3 3" xfId="12041" xr:uid="{00000000-0005-0000-0000-0000B92A0000}"/>
    <cellStyle name="40% - Accent1 11 2 2 3 4" xfId="19996" xr:uid="{00000000-0005-0000-0000-0000BA2A0000}"/>
    <cellStyle name="40% - Accent1 11 2 2 4" xfId="5836" xr:uid="{00000000-0005-0000-0000-0000BB2A0000}"/>
    <cellStyle name="40% - Accent1 11 2 2 4 2" xfId="13820" xr:uid="{00000000-0005-0000-0000-0000BC2A0000}"/>
    <cellStyle name="40% - Accent1 11 2 2 4 3" xfId="21768" xr:uid="{00000000-0005-0000-0000-0000BD2A0000}"/>
    <cellStyle name="40% - Accent1 11 2 2 5" xfId="9389" xr:uid="{00000000-0005-0000-0000-0000BE2A0000}"/>
    <cellStyle name="40% - Accent1 11 2 2 5 2" xfId="17347" xr:uid="{00000000-0005-0000-0000-0000BF2A0000}"/>
    <cellStyle name="40% - Accent1 11 2 2 5 3" xfId="25291" xr:uid="{00000000-0005-0000-0000-0000C02A0000}"/>
    <cellStyle name="40% - Accent1 11 2 2 6" xfId="10285" xr:uid="{00000000-0005-0000-0000-0000C12A0000}"/>
    <cellStyle name="40% - Accent1 11 2 2 7" xfId="18240" xr:uid="{00000000-0005-0000-0000-0000C22A0000}"/>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3" xfId="24402" xr:uid="{00000000-0005-0000-0000-0000C82A0000}"/>
    <cellStyle name="40% - Accent1 11 2 3 2 3" xfId="12918" xr:uid="{00000000-0005-0000-0000-0000C92A0000}"/>
    <cellStyle name="40% - Accent1 11 2 3 2 4" xfId="20873" xr:uid="{00000000-0005-0000-0000-0000CA2A0000}"/>
    <cellStyle name="40% - Accent1 11 2 3 3" xfId="6726" xr:uid="{00000000-0005-0000-0000-0000CB2A0000}"/>
    <cellStyle name="40% - Accent1 11 2 3 3 2" xfId="14698" xr:uid="{00000000-0005-0000-0000-0000CC2A0000}"/>
    <cellStyle name="40% - Accent1 11 2 3 3 3" xfId="22645" xr:uid="{00000000-0005-0000-0000-0000CD2A0000}"/>
    <cellStyle name="40% - Accent1 11 2 3 4" xfId="11162" xr:uid="{00000000-0005-0000-0000-0000CE2A0000}"/>
    <cellStyle name="40% - Accent1 11 2 3 5" xfId="19117" xr:uid="{00000000-0005-0000-0000-0000CF2A0000}"/>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3" xfId="23524" xr:uid="{00000000-0005-0000-0000-0000D42A0000}"/>
    <cellStyle name="40% - Accent1 11 2 4 3" xfId="12040" xr:uid="{00000000-0005-0000-0000-0000D52A0000}"/>
    <cellStyle name="40% - Accent1 11 2 4 4" xfId="19995" xr:uid="{00000000-0005-0000-0000-0000D62A0000}"/>
    <cellStyle name="40% - Accent1 11 2 5" xfId="5835" xr:uid="{00000000-0005-0000-0000-0000D72A0000}"/>
    <cellStyle name="40% - Accent1 11 2 5 2" xfId="13819" xr:uid="{00000000-0005-0000-0000-0000D82A0000}"/>
    <cellStyle name="40% - Accent1 11 2 5 3" xfId="21767" xr:uid="{00000000-0005-0000-0000-0000D92A0000}"/>
    <cellStyle name="40% - Accent1 11 2 6" xfId="9388" xr:uid="{00000000-0005-0000-0000-0000DA2A0000}"/>
    <cellStyle name="40% - Accent1 11 2 6 2" xfId="17346" xr:uid="{00000000-0005-0000-0000-0000DB2A0000}"/>
    <cellStyle name="40% - Accent1 11 2 6 3" xfId="25290" xr:uid="{00000000-0005-0000-0000-0000DC2A0000}"/>
    <cellStyle name="40% - Accent1 11 2 7" xfId="10284" xr:uid="{00000000-0005-0000-0000-0000DD2A0000}"/>
    <cellStyle name="40% - Accent1 11 2 8" xfId="18239" xr:uid="{00000000-0005-0000-0000-0000DE2A0000}"/>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3" xfId="24404" xr:uid="{00000000-0005-0000-0000-0000E52A0000}"/>
    <cellStyle name="40% - Accent1 11 3 2 2 3" xfId="12920" xr:uid="{00000000-0005-0000-0000-0000E62A0000}"/>
    <cellStyle name="40% - Accent1 11 3 2 2 4" xfId="20875" xr:uid="{00000000-0005-0000-0000-0000E72A0000}"/>
    <cellStyle name="40% - Accent1 11 3 2 3" xfId="6728" xr:uid="{00000000-0005-0000-0000-0000E82A0000}"/>
    <cellStyle name="40% - Accent1 11 3 2 3 2" xfId="14700" xr:uid="{00000000-0005-0000-0000-0000E92A0000}"/>
    <cellStyle name="40% - Accent1 11 3 2 3 3" xfId="22647" xr:uid="{00000000-0005-0000-0000-0000EA2A0000}"/>
    <cellStyle name="40% - Accent1 11 3 2 4" xfId="11164" xr:uid="{00000000-0005-0000-0000-0000EB2A0000}"/>
    <cellStyle name="40% - Accent1 11 3 2 5" xfId="19119" xr:uid="{00000000-0005-0000-0000-0000EC2A0000}"/>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3" xfId="23526" xr:uid="{00000000-0005-0000-0000-0000F12A0000}"/>
    <cellStyle name="40% - Accent1 11 3 3 3" xfId="12042" xr:uid="{00000000-0005-0000-0000-0000F22A0000}"/>
    <cellStyle name="40% - Accent1 11 3 3 4" xfId="19997" xr:uid="{00000000-0005-0000-0000-0000F32A0000}"/>
    <cellStyle name="40% - Accent1 11 3 4" xfId="5837" xr:uid="{00000000-0005-0000-0000-0000F42A0000}"/>
    <cellStyle name="40% - Accent1 11 3 4 2" xfId="13821" xr:uid="{00000000-0005-0000-0000-0000F52A0000}"/>
    <cellStyle name="40% - Accent1 11 3 4 3" xfId="21769" xr:uid="{00000000-0005-0000-0000-0000F62A0000}"/>
    <cellStyle name="40% - Accent1 11 3 5" xfId="9390" xr:uid="{00000000-0005-0000-0000-0000F72A0000}"/>
    <cellStyle name="40% - Accent1 11 3 5 2" xfId="17348" xr:uid="{00000000-0005-0000-0000-0000F82A0000}"/>
    <cellStyle name="40% - Accent1 11 3 5 3" xfId="25292" xr:uid="{00000000-0005-0000-0000-0000F92A0000}"/>
    <cellStyle name="40% - Accent1 11 3 6" xfId="10286" xr:uid="{00000000-0005-0000-0000-0000FA2A0000}"/>
    <cellStyle name="40% - Accent1 11 3 7" xfId="18241" xr:uid="{00000000-0005-0000-0000-0000FB2A0000}"/>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3" xfId="24401" xr:uid="{00000000-0005-0000-0000-0000012B0000}"/>
    <cellStyle name="40% - Accent1 11 4 2 3" xfId="12917" xr:uid="{00000000-0005-0000-0000-0000022B0000}"/>
    <cellStyle name="40% - Accent1 11 4 2 4" xfId="20872" xr:uid="{00000000-0005-0000-0000-0000032B0000}"/>
    <cellStyle name="40% - Accent1 11 4 3" xfId="6725" xr:uid="{00000000-0005-0000-0000-0000042B0000}"/>
    <cellStyle name="40% - Accent1 11 4 3 2" xfId="14697" xr:uid="{00000000-0005-0000-0000-0000052B0000}"/>
    <cellStyle name="40% - Accent1 11 4 3 3" xfId="22644" xr:uid="{00000000-0005-0000-0000-0000062B0000}"/>
    <cellStyle name="40% - Accent1 11 4 4" xfId="11161" xr:uid="{00000000-0005-0000-0000-0000072B0000}"/>
    <cellStyle name="40% - Accent1 11 4 5" xfId="19116" xr:uid="{00000000-0005-0000-0000-0000082B0000}"/>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3" xfId="23523" xr:uid="{00000000-0005-0000-0000-00000D2B0000}"/>
    <cellStyle name="40% - Accent1 11 5 3" xfId="12039" xr:uid="{00000000-0005-0000-0000-00000E2B0000}"/>
    <cellStyle name="40% - Accent1 11 5 4" xfId="19994" xr:uid="{00000000-0005-0000-0000-00000F2B0000}"/>
    <cellStyle name="40% - Accent1 11 6" xfId="5834" xr:uid="{00000000-0005-0000-0000-0000102B0000}"/>
    <cellStyle name="40% - Accent1 11 6 2" xfId="13818" xr:uid="{00000000-0005-0000-0000-0000112B0000}"/>
    <cellStyle name="40% - Accent1 11 6 3" xfId="21766" xr:uid="{00000000-0005-0000-0000-0000122B0000}"/>
    <cellStyle name="40% - Accent1 11 7" xfId="9387" xr:uid="{00000000-0005-0000-0000-0000132B0000}"/>
    <cellStyle name="40% - Accent1 11 7 2" xfId="17345" xr:uid="{00000000-0005-0000-0000-0000142B0000}"/>
    <cellStyle name="40% - Accent1 11 7 3" xfId="25289" xr:uid="{00000000-0005-0000-0000-0000152B0000}"/>
    <cellStyle name="40% - Accent1 11 8" xfId="10283" xr:uid="{00000000-0005-0000-0000-0000162B0000}"/>
    <cellStyle name="40% - Accent1 11 9" xfId="18238" xr:uid="{00000000-0005-0000-0000-0000172B0000}"/>
    <cellStyle name="40% - Accent1 11_Exh G" xfId="2693" xr:uid="{00000000-0005-0000-0000-0000182B0000}"/>
    <cellStyle name="40% - Accent1 12" xfId="339" xr:uid="{00000000-0005-0000-0000-0000192B0000}"/>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3" xfId="24407" xr:uid="{00000000-0005-0000-0000-0000202B0000}"/>
    <cellStyle name="40% - Accent1 12 2 2 2 2 3" xfId="12923" xr:uid="{00000000-0005-0000-0000-0000212B0000}"/>
    <cellStyle name="40% - Accent1 12 2 2 2 2 4" xfId="20878" xr:uid="{00000000-0005-0000-0000-0000222B0000}"/>
    <cellStyle name="40% - Accent1 12 2 2 2 3" xfId="6731" xr:uid="{00000000-0005-0000-0000-0000232B0000}"/>
    <cellStyle name="40% - Accent1 12 2 2 2 3 2" xfId="14703" xr:uid="{00000000-0005-0000-0000-0000242B0000}"/>
    <cellStyle name="40% - Accent1 12 2 2 2 3 3" xfId="22650" xr:uid="{00000000-0005-0000-0000-0000252B0000}"/>
    <cellStyle name="40% - Accent1 12 2 2 2 4" xfId="11167" xr:uid="{00000000-0005-0000-0000-0000262B0000}"/>
    <cellStyle name="40% - Accent1 12 2 2 2 5" xfId="19122" xr:uid="{00000000-0005-0000-0000-0000272B0000}"/>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3" xfId="23529" xr:uid="{00000000-0005-0000-0000-00002C2B0000}"/>
    <cellStyle name="40% - Accent1 12 2 2 3 3" xfId="12045" xr:uid="{00000000-0005-0000-0000-00002D2B0000}"/>
    <cellStyle name="40% - Accent1 12 2 2 3 4" xfId="20000" xr:uid="{00000000-0005-0000-0000-00002E2B0000}"/>
    <cellStyle name="40% - Accent1 12 2 2 4" xfId="5840" xr:uid="{00000000-0005-0000-0000-00002F2B0000}"/>
    <cellStyle name="40% - Accent1 12 2 2 4 2" xfId="13824" xr:uid="{00000000-0005-0000-0000-0000302B0000}"/>
    <cellStyle name="40% - Accent1 12 2 2 4 3" xfId="21772" xr:uid="{00000000-0005-0000-0000-0000312B0000}"/>
    <cellStyle name="40% - Accent1 12 2 2 5" xfId="9393" xr:uid="{00000000-0005-0000-0000-0000322B0000}"/>
    <cellStyle name="40% - Accent1 12 2 2 5 2" xfId="17351" xr:uid="{00000000-0005-0000-0000-0000332B0000}"/>
    <cellStyle name="40% - Accent1 12 2 2 5 3" xfId="25295" xr:uid="{00000000-0005-0000-0000-0000342B0000}"/>
    <cellStyle name="40% - Accent1 12 2 2 6" xfId="10289" xr:uid="{00000000-0005-0000-0000-0000352B0000}"/>
    <cellStyle name="40% - Accent1 12 2 2 7" xfId="18244" xr:uid="{00000000-0005-0000-0000-0000362B0000}"/>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3" xfId="24406" xr:uid="{00000000-0005-0000-0000-00003C2B0000}"/>
    <cellStyle name="40% - Accent1 12 2 3 2 3" xfId="12922" xr:uid="{00000000-0005-0000-0000-00003D2B0000}"/>
    <cellStyle name="40% - Accent1 12 2 3 2 4" xfId="20877" xr:uid="{00000000-0005-0000-0000-00003E2B0000}"/>
    <cellStyle name="40% - Accent1 12 2 3 3" xfId="6730" xr:uid="{00000000-0005-0000-0000-00003F2B0000}"/>
    <cellStyle name="40% - Accent1 12 2 3 3 2" xfId="14702" xr:uid="{00000000-0005-0000-0000-0000402B0000}"/>
    <cellStyle name="40% - Accent1 12 2 3 3 3" xfId="22649" xr:uid="{00000000-0005-0000-0000-0000412B0000}"/>
    <cellStyle name="40% - Accent1 12 2 3 4" xfId="11166" xr:uid="{00000000-0005-0000-0000-0000422B0000}"/>
    <cellStyle name="40% - Accent1 12 2 3 5" xfId="19121" xr:uid="{00000000-0005-0000-0000-0000432B0000}"/>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3" xfId="23528" xr:uid="{00000000-0005-0000-0000-0000482B0000}"/>
    <cellStyle name="40% - Accent1 12 2 4 3" xfId="12044" xr:uid="{00000000-0005-0000-0000-0000492B0000}"/>
    <cellStyle name="40% - Accent1 12 2 4 4" xfId="19999" xr:uid="{00000000-0005-0000-0000-00004A2B0000}"/>
    <cellStyle name="40% - Accent1 12 2 5" xfId="5839" xr:uid="{00000000-0005-0000-0000-00004B2B0000}"/>
    <cellStyle name="40% - Accent1 12 2 5 2" xfId="13823" xr:uid="{00000000-0005-0000-0000-00004C2B0000}"/>
    <cellStyle name="40% - Accent1 12 2 5 3" xfId="21771" xr:uid="{00000000-0005-0000-0000-00004D2B0000}"/>
    <cellStyle name="40% - Accent1 12 2 6" xfId="9392" xr:uid="{00000000-0005-0000-0000-00004E2B0000}"/>
    <cellStyle name="40% - Accent1 12 2 6 2" xfId="17350" xr:uid="{00000000-0005-0000-0000-00004F2B0000}"/>
    <cellStyle name="40% - Accent1 12 2 6 3" xfId="25294" xr:uid="{00000000-0005-0000-0000-0000502B0000}"/>
    <cellStyle name="40% - Accent1 12 2 7" xfId="10288" xr:uid="{00000000-0005-0000-0000-0000512B0000}"/>
    <cellStyle name="40% - Accent1 12 2 8" xfId="18243" xr:uid="{00000000-0005-0000-0000-0000522B0000}"/>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3" xfId="24408" xr:uid="{00000000-0005-0000-0000-0000592B0000}"/>
    <cellStyle name="40% - Accent1 12 3 2 2 3" xfId="12924" xr:uid="{00000000-0005-0000-0000-00005A2B0000}"/>
    <cellStyle name="40% - Accent1 12 3 2 2 4" xfId="20879" xr:uid="{00000000-0005-0000-0000-00005B2B0000}"/>
    <cellStyle name="40% - Accent1 12 3 2 3" xfId="6732" xr:uid="{00000000-0005-0000-0000-00005C2B0000}"/>
    <cellStyle name="40% - Accent1 12 3 2 3 2" xfId="14704" xr:uid="{00000000-0005-0000-0000-00005D2B0000}"/>
    <cellStyle name="40% - Accent1 12 3 2 3 3" xfId="22651" xr:uid="{00000000-0005-0000-0000-00005E2B0000}"/>
    <cellStyle name="40% - Accent1 12 3 2 4" xfId="11168" xr:uid="{00000000-0005-0000-0000-00005F2B0000}"/>
    <cellStyle name="40% - Accent1 12 3 2 5" xfId="19123" xr:uid="{00000000-0005-0000-0000-0000602B0000}"/>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3" xfId="23530" xr:uid="{00000000-0005-0000-0000-0000652B0000}"/>
    <cellStyle name="40% - Accent1 12 3 3 3" xfId="12046" xr:uid="{00000000-0005-0000-0000-0000662B0000}"/>
    <cellStyle name="40% - Accent1 12 3 3 4" xfId="20001" xr:uid="{00000000-0005-0000-0000-0000672B0000}"/>
    <cellStyle name="40% - Accent1 12 3 4" xfId="5841" xr:uid="{00000000-0005-0000-0000-0000682B0000}"/>
    <cellStyle name="40% - Accent1 12 3 4 2" xfId="13825" xr:uid="{00000000-0005-0000-0000-0000692B0000}"/>
    <cellStyle name="40% - Accent1 12 3 4 3" xfId="21773" xr:uid="{00000000-0005-0000-0000-00006A2B0000}"/>
    <cellStyle name="40% - Accent1 12 3 5" xfId="9394" xr:uid="{00000000-0005-0000-0000-00006B2B0000}"/>
    <cellStyle name="40% - Accent1 12 3 5 2" xfId="17352" xr:uid="{00000000-0005-0000-0000-00006C2B0000}"/>
    <cellStyle name="40% - Accent1 12 3 5 3" xfId="25296" xr:uid="{00000000-0005-0000-0000-00006D2B0000}"/>
    <cellStyle name="40% - Accent1 12 3 6" xfId="10290" xr:uid="{00000000-0005-0000-0000-00006E2B0000}"/>
    <cellStyle name="40% - Accent1 12 3 7" xfId="18245" xr:uid="{00000000-0005-0000-0000-00006F2B000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3" xfId="24405" xr:uid="{00000000-0005-0000-0000-0000752B0000}"/>
    <cellStyle name="40% - Accent1 12 4 2 3" xfId="12921" xr:uid="{00000000-0005-0000-0000-0000762B0000}"/>
    <cellStyle name="40% - Accent1 12 4 2 4" xfId="20876" xr:uid="{00000000-0005-0000-0000-0000772B0000}"/>
    <cellStyle name="40% - Accent1 12 4 3" xfId="6729" xr:uid="{00000000-0005-0000-0000-0000782B0000}"/>
    <cellStyle name="40% - Accent1 12 4 3 2" xfId="14701" xr:uid="{00000000-0005-0000-0000-0000792B0000}"/>
    <cellStyle name="40% - Accent1 12 4 3 3" xfId="22648" xr:uid="{00000000-0005-0000-0000-00007A2B0000}"/>
    <cellStyle name="40% - Accent1 12 4 4" xfId="11165" xr:uid="{00000000-0005-0000-0000-00007B2B0000}"/>
    <cellStyle name="40% - Accent1 12 4 5" xfId="19120" xr:uid="{00000000-0005-0000-0000-00007C2B0000}"/>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3" xfId="23527" xr:uid="{00000000-0005-0000-0000-0000812B0000}"/>
    <cellStyle name="40% - Accent1 12 5 3" xfId="12043" xr:uid="{00000000-0005-0000-0000-0000822B0000}"/>
    <cellStyle name="40% - Accent1 12 5 4" xfId="19998" xr:uid="{00000000-0005-0000-0000-0000832B0000}"/>
    <cellStyle name="40% - Accent1 12 6" xfId="5838" xr:uid="{00000000-0005-0000-0000-0000842B0000}"/>
    <cellStyle name="40% - Accent1 12 6 2" xfId="13822" xr:uid="{00000000-0005-0000-0000-0000852B0000}"/>
    <cellStyle name="40% - Accent1 12 6 3" xfId="21770" xr:uid="{00000000-0005-0000-0000-0000862B0000}"/>
    <cellStyle name="40% - Accent1 12 7" xfId="9391" xr:uid="{00000000-0005-0000-0000-0000872B0000}"/>
    <cellStyle name="40% - Accent1 12 7 2" xfId="17349" xr:uid="{00000000-0005-0000-0000-0000882B0000}"/>
    <cellStyle name="40% - Accent1 12 7 3" xfId="25293" xr:uid="{00000000-0005-0000-0000-0000892B0000}"/>
    <cellStyle name="40% - Accent1 12 8" xfId="10287" xr:uid="{00000000-0005-0000-0000-00008A2B0000}"/>
    <cellStyle name="40% - Accent1 12 9" xfId="18242" xr:uid="{00000000-0005-0000-0000-00008B2B0000}"/>
    <cellStyle name="40% - Accent1 12_Exh G" xfId="2701" xr:uid="{00000000-0005-0000-0000-00008C2B0000}"/>
    <cellStyle name="40% - Accent1 13" xfId="343" xr:uid="{00000000-0005-0000-0000-00008D2B0000}"/>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3" xfId="24411" xr:uid="{00000000-0005-0000-0000-0000942B0000}"/>
    <cellStyle name="40% - Accent1 13 2 2 2 2 3" xfId="12927" xr:uid="{00000000-0005-0000-0000-0000952B0000}"/>
    <cellStyle name="40% - Accent1 13 2 2 2 2 4" xfId="20882" xr:uid="{00000000-0005-0000-0000-0000962B0000}"/>
    <cellStyle name="40% - Accent1 13 2 2 2 3" xfId="6735" xr:uid="{00000000-0005-0000-0000-0000972B0000}"/>
    <cellStyle name="40% - Accent1 13 2 2 2 3 2" xfId="14707" xr:uid="{00000000-0005-0000-0000-0000982B0000}"/>
    <cellStyle name="40% - Accent1 13 2 2 2 3 3" xfId="22654" xr:uid="{00000000-0005-0000-0000-0000992B0000}"/>
    <cellStyle name="40% - Accent1 13 2 2 2 4" xfId="11171" xr:uid="{00000000-0005-0000-0000-00009A2B0000}"/>
    <cellStyle name="40% - Accent1 13 2 2 2 5" xfId="19126" xr:uid="{00000000-0005-0000-0000-00009B2B0000}"/>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3" xfId="23533" xr:uid="{00000000-0005-0000-0000-0000A02B0000}"/>
    <cellStyle name="40% - Accent1 13 2 2 3 3" xfId="12049" xr:uid="{00000000-0005-0000-0000-0000A12B0000}"/>
    <cellStyle name="40% - Accent1 13 2 2 3 4" xfId="20004" xr:uid="{00000000-0005-0000-0000-0000A22B0000}"/>
    <cellStyle name="40% - Accent1 13 2 2 4" xfId="5844" xr:uid="{00000000-0005-0000-0000-0000A32B0000}"/>
    <cellStyle name="40% - Accent1 13 2 2 4 2" xfId="13828" xr:uid="{00000000-0005-0000-0000-0000A42B0000}"/>
    <cellStyle name="40% - Accent1 13 2 2 4 3" xfId="21776" xr:uid="{00000000-0005-0000-0000-0000A52B0000}"/>
    <cellStyle name="40% - Accent1 13 2 2 5" xfId="9397" xr:uid="{00000000-0005-0000-0000-0000A62B0000}"/>
    <cellStyle name="40% - Accent1 13 2 2 5 2" xfId="17355" xr:uid="{00000000-0005-0000-0000-0000A72B0000}"/>
    <cellStyle name="40% - Accent1 13 2 2 5 3" xfId="25299" xr:uid="{00000000-0005-0000-0000-0000A82B0000}"/>
    <cellStyle name="40% - Accent1 13 2 2 6" xfId="10293" xr:uid="{00000000-0005-0000-0000-0000A92B0000}"/>
    <cellStyle name="40% - Accent1 13 2 2 7" xfId="18248" xr:uid="{00000000-0005-0000-0000-0000AA2B0000}"/>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3" xfId="24410" xr:uid="{00000000-0005-0000-0000-0000B02B0000}"/>
    <cellStyle name="40% - Accent1 13 2 3 2 3" xfId="12926" xr:uid="{00000000-0005-0000-0000-0000B12B0000}"/>
    <cellStyle name="40% - Accent1 13 2 3 2 4" xfId="20881" xr:uid="{00000000-0005-0000-0000-0000B22B0000}"/>
    <cellStyle name="40% - Accent1 13 2 3 3" xfId="6734" xr:uid="{00000000-0005-0000-0000-0000B32B0000}"/>
    <cellStyle name="40% - Accent1 13 2 3 3 2" xfId="14706" xr:uid="{00000000-0005-0000-0000-0000B42B0000}"/>
    <cellStyle name="40% - Accent1 13 2 3 3 3" xfId="22653" xr:uid="{00000000-0005-0000-0000-0000B52B0000}"/>
    <cellStyle name="40% - Accent1 13 2 3 4" xfId="11170" xr:uid="{00000000-0005-0000-0000-0000B62B0000}"/>
    <cellStyle name="40% - Accent1 13 2 3 5" xfId="19125" xr:uid="{00000000-0005-0000-0000-0000B72B0000}"/>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3" xfId="23532" xr:uid="{00000000-0005-0000-0000-0000BC2B0000}"/>
    <cellStyle name="40% - Accent1 13 2 4 3" xfId="12048" xr:uid="{00000000-0005-0000-0000-0000BD2B0000}"/>
    <cellStyle name="40% - Accent1 13 2 4 4" xfId="20003" xr:uid="{00000000-0005-0000-0000-0000BE2B0000}"/>
    <cellStyle name="40% - Accent1 13 2 5" xfId="5843" xr:uid="{00000000-0005-0000-0000-0000BF2B0000}"/>
    <cellStyle name="40% - Accent1 13 2 5 2" xfId="13827" xr:uid="{00000000-0005-0000-0000-0000C02B0000}"/>
    <cellStyle name="40% - Accent1 13 2 5 3" xfId="21775" xr:uid="{00000000-0005-0000-0000-0000C12B0000}"/>
    <cellStyle name="40% - Accent1 13 2 6" xfId="9396" xr:uid="{00000000-0005-0000-0000-0000C22B0000}"/>
    <cellStyle name="40% - Accent1 13 2 6 2" xfId="17354" xr:uid="{00000000-0005-0000-0000-0000C32B0000}"/>
    <cellStyle name="40% - Accent1 13 2 6 3" xfId="25298" xr:uid="{00000000-0005-0000-0000-0000C42B0000}"/>
    <cellStyle name="40% - Accent1 13 2 7" xfId="10292" xr:uid="{00000000-0005-0000-0000-0000C52B0000}"/>
    <cellStyle name="40% - Accent1 13 2 8" xfId="18247" xr:uid="{00000000-0005-0000-0000-0000C62B0000}"/>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3" xfId="24412" xr:uid="{00000000-0005-0000-0000-0000CD2B0000}"/>
    <cellStyle name="40% - Accent1 13 3 2 2 3" xfId="12928" xr:uid="{00000000-0005-0000-0000-0000CE2B0000}"/>
    <cellStyle name="40% - Accent1 13 3 2 2 4" xfId="20883" xr:uid="{00000000-0005-0000-0000-0000CF2B0000}"/>
    <cellStyle name="40% - Accent1 13 3 2 3" xfId="6736" xr:uid="{00000000-0005-0000-0000-0000D02B0000}"/>
    <cellStyle name="40% - Accent1 13 3 2 3 2" xfId="14708" xr:uid="{00000000-0005-0000-0000-0000D12B0000}"/>
    <cellStyle name="40% - Accent1 13 3 2 3 3" xfId="22655" xr:uid="{00000000-0005-0000-0000-0000D22B0000}"/>
    <cellStyle name="40% - Accent1 13 3 2 4" xfId="11172" xr:uid="{00000000-0005-0000-0000-0000D32B0000}"/>
    <cellStyle name="40% - Accent1 13 3 2 5" xfId="19127" xr:uid="{00000000-0005-0000-0000-0000D42B0000}"/>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3" xfId="23534" xr:uid="{00000000-0005-0000-0000-0000D92B0000}"/>
    <cellStyle name="40% - Accent1 13 3 3 3" xfId="12050" xr:uid="{00000000-0005-0000-0000-0000DA2B0000}"/>
    <cellStyle name="40% - Accent1 13 3 3 4" xfId="20005" xr:uid="{00000000-0005-0000-0000-0000DB2B0000}"/>
    <cellStyle name="40% - Accent1 13 3 4" xfId="5845" xr:uid="{00000000-0005-0000-0000-0000DC2B0000}"/>
    <cellStyle name="40% - Accent1 13 3 4 2" xfId="13829" xr:uid="{00000000-0005-0000-0000-0000DD2B0000}"/>
    <cellStyle name="40% - Accent1 13 3 4 3" xfId="21777" xr:uid="{00000000-0005-0000-0000-0000DE2B0000}"/>
    <cellStyle name="40% - Accent1 13 3 5" xfId="9398" xr:uid="{00000000-0005-0000-0000-0000DF2B0000}"/>
    <cellStyle name="40% - Accent1 13 3 5 2" xfId="17356" xr:uid="{00000000-0005-0000-0000-0000E02B0000}"/>
    <cellStyle name="40% - Accent1 13 3 5 3" xfId="25300" xr:uid="{00000000-0005-0000-0000-0000E12B0000}"/>
    <cellStyle name="40% - Accent1 13 3 6" xfId="10294" xr:uid="{00000000-0005-0000-0000-0000E22B0000}"/>
    <cellStyle name="40% - Accent1 13 3 7" xfId="18249" xr:uid="{00000000-0005-0000-0000-0000E32B0000}"/>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3" xfId="24409" xr:uid="{00000000-0005-0000-0000-0000E92B0000}"/>
    <cellStyle name="40% - Accent1 13 4 2 3" xfId="12925" xr:uid="{00000000-0005-0000-0000-0000EA2B0000}"/>
    <cellStyle name="40% - Accent1 13 4 2 4" xfId="20880" xr:uid="{00000000-0005-0000-0000-0000EB2B0000}"/>
    <cellStyle name="40% - Accent1 13 4 3" xfId="6733" xr:uid="{00000000-0005-0000-0000-0000EC2B0000}"/>
    <cellStyle name="40% - Accent1 13 4 3 2" xfId="14705" xr:uid="{00000000-0005-0000-0000-0000ED2B0000}"/>
    <cellStyle name="40% - Accent1 13 4 3 3" xfId="22652" xr:uid="{00000000-0005-0000-0000-0000EE2B0000}"/>
    <cellStyle name="40% - Accent1 13 4 4" xfId="11169" xr:uid="{00000000-0005-0000-0000-0000EF2B0000}"/>
    <cellStyle name="40% - Accent1 13 4 5" xfId="19124" xr:uid="{00000000-0005-0000-0000-0000F02B0000}"/>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3" xfId="23531" xr:uid="{00000000-0005-0000-0000-0000F52B0000}"/>
    <cellStyle name="40% - Accent1 13 5 3" xfId="12047" xr:uid="{00000000-0005-0000-0000-0000F62B0000}"/>
    <cellStyle name="40% - Accent1 13 5 4" xfId="20002" xr:uid="{00000000-0005-0000-0000-0000F72B0000}"/>
    <cellStyle name="40% - Accent1 13 6" xfId="5842" xr:uid="{00000000-0005-0000-0000-0000F82B0000}"/>
    <cellStyle name="40% - Accent1 13 6 2" xfId="13826" xr:uid="{00000000-0005-0000-0000-0000F92B0000}"/>
    <cellStyle name="40% - Accent1 13 6 3" xfId="21774" xr:uid="{00000000-0005-0000-0000-0000FA2B0000}"/>
    <cellStyle name="40% - Accent1 13 7" xfId="9395" xr:uid="{00000000-0005-0000-0000-0000FB2B0000}"/>
    <cellStyle name="40% - Accent1 13 7 2" xfId="17353" xr:uid="{00000000-0005-0000-0000-0000FC2B0000}"/>
    <cellStyle name="40% - Accent1 13 7 3" xfId="25297" xr:uid="{00000000-0005-0000-0000-0000FD2B0000}"/>
    <cellStyle name="40% - Accent1 13 8" xfId="10291" xr:uid="{00000000-0005-0000-0000-0000FE2B0000}"/>
    <cellStyle name="40% - Accent1 13 9" xfId="18246" xr:uid="{00000000-0005-0000-0000-0000FF2B0000}"/>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3" xfId="24414" xr:uid="{00000000-0005-0000-0000-0000072C0000}"/>
    <cellStyle name="40% - Accent1 14 2 2 2 3" xfId="12930" xr:uid="{00000000-0005-0000-0000-0000082C0000}"/>
    <cellStyle name="40% - Accent1 14 2 2 2 4" xfId="20885" xr:uid="{00000000-0005-0000-0000-0000092C0000}"/>
    <cellStyle name="40% - Accent1 14 2 2 3" xfId="6738" xr:uid="{00000000-0005-0000-0000-00000A2C0000}"/>
    <cellStyle name="40% - Accent1 14 2 2 3 2" xfId="14710" xr:uid="{00000000-0005-0000-0000-00000B2C0000}"/>
    <cellStyle name="40% - Accent1 14 2 2 3 3" xfId="22657" xr:uid="{00000000-0005-0000-0000-00000C2C0000}"/>
    <cellStyle name="40% - Accent1 14 2 2 4" xfId="11174" xr:uid="{00000000-0005-0000-0000-00000D2C0000}"/>
    <cellStyle name="40% - Accent1 14 2 2 5" xfId="19129" xr:uid="{00000000-0005-0000-0000-00000E2C0000}"/>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3" xfId="23536" xr:uid="{00000000-0005-0000-0000-0000132C0000}"/>
    <cellStyle name="40% - Accent1 14 2 3 3" xfId="12052" xr:uid="{00000000-0005-0000-0000-0000142C0000}"/>
    <cellStyle name="40% - Accent1 14 2 3 4" xfId="20007" xr:uid="{00000000-0005-0000-0000-0000152C0000}"/>
    <cellStyle name="40% - Accent1 14 2 4" xfId="5847" xr:uid="{00000000-0005-0000-0000-0000162C0000}"/>
    <cellStyle name="40% - Accent1 14 2 4 2" xfId="13831" xr:uid="{00000000-0005-0000-0000-0000172C0000}"/>
    <cellStyle name="40% - Accent1 14 2 4 3" xfId="21779" xr:uid="{00000000-0005-0000-0000-0000182C0000}"/>
    <cellStyle name="40% - Accent1 14 2 5" xfId="9400" xr:uid="{00000000-0005-0000-0000-0000192C0000}"/>
    <cellStyle name="40% - Accent1 14 2 5 2" xfId="17358" xr:uid="{00000000-0005-0000-0000-00001A2C0000}"/>
    <cellStyle name="40% - Accent1 14 2 5 3" xfId="25302" xr:uid="{00000000-0005-0000-0000-00001B2C0000}"/>
    <cellStyle name="40% - Accent1 14 2 6" xfId="10296" xr:uid="{00000000-0005-0000-0000-00001C2C0000}"/>
    <cellStyle name="40% - Accent1 14 2 7" xfId="18251" xr:uid="{00000000-0005-0000-0000-00001D2C0000}"/>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3" xfId="24413" xr:uid="{00000000-0005-0000-0000-0000232C0000}"/>
    <cellStyle name="40% - Accent1 14 3 2 3" xfId="12929" xr:uid="{00000000-0005-0000-0000-0000242C0000}"/>
    <cellStyle name="40% - Accent1 14 3 2 4" xfId="20884" xr:uid="{00000000-0005-0000-0000-0000252C0000}"/>
    <cellStyle name="40% - Accent1 14 3 3" xfId="6737" xr:uid="{00000000-0005-0000-0000-0000262C0000}"/>
    <cellStyle name="40% - Accent1 14 3 3 2" xfId="14709" xr:uid="{00000000-0005-0000-0000-0000272C0000}"/>
    <cellStyle name="40% - Accent1 14 3 3 3" xfId="22656" xr:uid="{00000000-0005-0000-0000-0000282C0000}"/>
    <cellStyle name="40% - Accent1 14 3 4" xfId="11173" xr:uid="{00000000-0005-0000-0000-0000292C0000}"/>
    <cellStyle name="40% - Accent1 14 3 5" xfId="19128" xr:uid="{00000000-0005-0000-0000-00002A2C0000}"/>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3" xfId="23535" xr:uid="{00000000-0005-0000-0000-00002F2C0000}"/>
    <cellStyle name="40% - Accent1 14 4 3" xfId="12051" xr:uid="{00000000-0005-0000-0000-0000302C0000}"/>
    <cellStyle name="40% - Accent1 14 4 4" xfId="20006" xr:uid="{00000000-0005-0000-0000-0000312C0000}"/>
    <cellStyle name="40% - Accent1 14 5" xfId="5846" xr:uid="{00000000-0005-0000-0000-0000322C0000}"/>
    <cellStyle name="40% - Accent1 14 5 2" xfId="13830" xr:uid="{00000000-0005-0000-0000-0000332C0000}"/>
    <cellStyle name="40% - Accent1 14 5 3" xfId="21778" xr:uid="{00000000-0005-0000-0000-0000342C0000}"/>
    <cellStyle name="40% - Accent1 14 6" xfId="9399" xr:uid="{00000000-0005-0000-0000-0000352C0000}"/>
    <cellStyle name="40% - Accent1 14 6 2" xfId="17357" xr:uid="{00000000-0005-0000-0000-0000362C0000}"/>
    <cellStyle name="40% - Accent1 14 6 3" xfId="25301" xr:uid="{00000000-0005-0000-0000-0000372C0000}"/>
    <cellStyle name="40% - Accent1 14 7" xfId="10295" xr:uid="{00000000-0005-0000-0000-0000382C0000}"/>
    <cellStyle name="40% - Accent1 14 8" xfId="18250" xr:uid="{00000000-0005-0000-0000-0000392C0000}"/>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3" xfId="24415" xr:uid="{00000000-0005-0000-0000-0000402C0000}"/>
    <cellStyle name="40% - Accent1 15 2 2 3" xfId="12931" xr:uid="{00000000-0005-0000-0000-0000412C0000}"/>
    <cellStyle name="40% - Accent1 15 2 2 4" xfId="20886" xr:uid="{00000000-0005-0000-0000-0000422C0000}"/>
    <cellStyle name="40% - Accent1 15 2 3" xfId="6739" xr:uid="{00000000-0005-0000-0000-0000432C0000}"/>
    <cellStyle name="40% - Accent1 15 2 3 2" xfId="14711" xr:uid="{00000000-0005-0000-0000-0000442C0000}"/>
    <cellStyle name="40% - Accent1 15 2 3 3" xfId="22658" xr:uid="{00000000-0005-0000-0000-0000452C0000}"/>
    <cellStyle name="40% - Accent1 15 2 4" xfId="11175" xr:uid="{00000000-0005-0000-0000-0000462C0000}"/>
    <cellStyle name="40% - Accent1 15 2 5" xfId="19130" xr:uid="{00000000-0005-0000-0000-0000472C0000}"/>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3" xfId="23537" xr:uid="{00000000-0005-0000-0000-00004C2C0000}"/>
    <cellStyle name="40% - Accent1 15 3 3" xfId="12053" xr:uid="{00000000-0005-0000-0000-00004D2C0000}"/>
    <cellStyle name="40% - Accent1 15 3 4" xfId="20008" xr:uid="{00000000-0005-0000-0000-00004E2C0000}"/>
    <cellStyle name="40% - Accent1 15 4" xfId="5848" xr:uid="{00000000-0005-0000-0000-00004F2C0000}"/>
    <cellStyle name="40% - Accent1 15 4 2" xfId="13832" xr:uid="{00000000-0005-0000-0000-0000502C0000}"/>
    <cellStyle name="40% - Accent1 15 4 3" xfId="21780" xr:uid="{00000000-0005-0000-0000-0000512C0000}"/>
    <cellStyle name="40% - Accent1 15 5" xfId="9401" xr:uid="{00000000-0005-0000-0000-0000522C0000}"/>
    <cellStyle name="40% - Accent1 15 5 2" xfId="17359" xr:uid="{00000000-0005-0000-0000-0000532C0000}"/>
    <cellStyle name="40% - Accent1 15 5 3" xfId="25303" xr:uid="{00000000-0005-0000-0000-0000542C0000}"/>
    <cellStyle name="40% - Accent1 15 6" xfId="10297" xr:uid="{00000000-0005-0000-0000-0000552C0000}"/>
    <cellStyle name="40% - Accent1 15 7" xfId="18252" xr:uid="{00000000-0005-0000-0000-0000562C0000}"/>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3" xfId="24817" xr:uid="{00000000-0005-0000-0000-00005D2C0000}"/>
    <cellStyle name="40% - Accent1 16 2 2 3" xfId="13333" xr:uid="{00000000-0005-0000-0000-00005E2C0000}"/>
    <cellStyle name="40% - Accent1 16 2 2 4" xfId="21288" xr:uid="{00000000-0005-0000-0000-00005F2C0000}"/>
    <cellStyle name="40% - Accent1 16 2 3" xfId="7141" xr:uid="{00000000-0005-0000-0000-0000602C0000}"/>
    <cellStyle name="40% - Accent1 16 2 3 2" xfId="15113" xr:uid="{00000000-0005-0000-0000-0000612C0000}"/>
    <cellStyle name="40% - Accent1 16 2 3 3" xfId="23060" xr:uid="{00000000-0005-0000-0000-0000622C0000}"/>
    <cellStyle name="40% - Accent1 16 2 4" xfId="11577" xr:uid="{00000000-0005-0000-0000-0000632C0000}"/>
    <cellStyle name="40% - Accent1 16 2 5" xfId="19532" xr:uid="{00000000-0005-0000-0000-0000642C0000}"/>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3" xfId="23939" xr:uid="{00000000-0005-0000-0000-0000692C0000}"/>
    <cellStyle name="40% - Accent1 16 3 3" xfId="12455" xr:uid="{00000000-0005-0000-0000-00006A2C0000}"/>
    <cellStyle name="40% - Accent1 16 3 4" xfId="20410" xr:uid="{00000000-0005-0000-0000-00006B2C0000}"/>
    <cellStyle name="40% - Accent1 16 4" xfId="6260" xr:uid="{00000000-0005-0000-0000-00006C2C0000}"/>
    <cellStyle name="40% - Accent1 16 4 2" xfId="14235" xr:uid="{00000000-0005-0000-0000-00006D2C0000}"/>
    <cellStyle name="40% - Accent1 16 4 3" xfId="22182" xr:uid="{00000000-0005-0000-0000-00006E2C0000}"/>
    <cellStyle name="40% - Accent1 16 5" xfId="9803" xr:uid="{00000000-0005-0000-0000-00006F2C0000}"/>
    <cellStyle name="40% - Accent1 16 5 2" xfId="17761" xr:uid="{00000000-0005-0000-0000-0000702C0000}"/>
    <cellStyle name="40% - Accent1 16 5 3" xfId="25705" xr:uid="{00000000-0005-0000-0000-0000712C0000}"/>
    <cellStyle name="40% - Accent1 16 6" xfId="10699" xr:uid="{00000000-0005-0000-0000-0000722C0000}"/>
    <cellStyle name="40% - Accent1 16 7" xfId="18654" xr:uid="{00000000-0005-0000-0000-0000732C0000}"/>
    <cellStyle name="40% - Accent1 16_Exh G" xfId="2723" xr:uid="{00000000-0005-0000-0000-0000742C0000}"/>
    <cellStyle name="40% - Accent1 2" xfId="350" xr:uid="{00000000-0005-0000-0000-0000752C0000}"/>
    <cellStyle name="40% - Accent1 2 10" xfId="18253" xr:uid="{00000000-0005-0000-0000-0000762C0000}"/>
    <cellStyle name="40% - Accent1 2 2" xfId="351" xr:uid="{00000000-0005-0000-0000-0000772C0000}"/>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3" xfId="24418" xr:uid="{00000000-0005-0000-0000-00007D2C0000}"/>
    <cellStyle name="40% - Accent1 2 2 2 2 2 3" xfId="12934" xr:uid="{00000000-0005-0000-0000-00007E2C0000}"/>
    <cellStyle name="40% - Accent1 2 2 2 2 2 4" xfId="20889" xr:uid="{00000000-0005-0000-0000-00007F2C0000}"/>
    <cellStyle name="40% - Accent1 2 2 2 2 3" xfId="6742" xr:uid="{00000000-0005-0000-0000-0000802C0000}"/>
    <cellStyle name="40% - Accent1 2 2 2 2 3 2" xfId="14714" xr:uid="{00000000-0005-0000-0000-0000812C0000}"/>
    <cellStyle name="40% - Accent1 2 2 2 2 3 3" xfId="22661" xr:uid="{00000000-0005-0000-0000-0000822C0000}"/>
    <cellStyle name="40% - Accent1 2 2 2 2 4" xfId="11178" xr:uid="{00000000-0005-0000-0000-0000832C0000}"/>
    <cellStyle name="40% - Accent1 2 2 2 2 5" xfId="19133" xr:uid="{00000000-0005-0000-0000-0000842C0000}"/>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3" xfId="23540" xr:uid="{00000000-0005-0000-0000-0000892C0000}"/>
    <cellStyle name="40% - Accent1 2 2 2 3 3" xfId="12056" xr:uid="{00000000-0005-0000-0000-00008A2C0000}"/>
    <cellStyle name="40% - Accent1 2 2 2 3 4" xfId="20011" xr:uid="{00000000-0005-0000-0000-00008B2C0000}"/>
    <cellStyle name="40% - Accent1 2 2 2 4" xfId="5851" xr:uid="{00000000-0005-0000-0000-00008C2C0000}"/>
    <cellStyle name="40% - Accent1 2 2 2 4 2" xfId="13835" xr:uid="{00000000-0005-0000-0000-00008D2C0000}"/>
    <cellStyle name="40% - Accent1 2 2 2 4 3" xfId="21783" xr:uid="{00000000-0005-0000-0000-00008E2C0000}"/>
    <cellStyle name="40% - Accent1 2 2 2 5" xfId="9404" xr:uid="{00000000-0005-0000-0000-00008F2C0000}"/>
    <cellStyle name="40% - Accent1 2 2 2 5 2" xfId="17362" xr:uid="{00000000-0005-0000-0000-0000902C0000}"/>
    <cellStyle name="40% - Accent1 2 2 2 5 3" xfId="25306" xr:uid="{00000000-0005-0000-0000-0000912C0000}"/>
    <cellStyle name="40% - Accent1 2 2 2 6" xfId="10300" xr:uid="{00000000-0005-0000-0000-0000922C0000}"/>
    <cellStyle name="40% - Accent1 2 2 2 7" xfId="18255" xr:uid="{00000000-0005-0000-0000-0000932C0000}"/>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3" xfId="24886" xr:uid="{00000000-0005-0000-0000-00009A2C0000}"/>
    <cellStyle name="40% - Accent1 2 2 3 2 2 3" xfId="13402" xr:uid="{00000000-0005-0000-0000-00009B2C0000}"/>
    <cellStyle name="40% - Accent1 2 2 3 2 2 4" xfId="21357" xr:uid="{00000000-0005-0000-0000-00009C2C0000}"/>
    <cellStyle name="40% - Accent1 2 2 3 2 3" xfId="7210" xr:uid="{00000000-0005-0000-0000-00009D2C0000}"/>
    <cellStyle name="40% - Accent1 2 2 3 2 3 2" xfId="15182" xr:uid="{00000000-0005-0000-0000-00009E2C0000}"/>
    <cellStyle name="40% - Accent1 2 2 3 2 3 3" xfId="23129" xr:uid="{00000000-0005-0000-0000-00009F2C0000}"/>
    <cellStyle name="40% - Accent1 2 2 3 2 4" xfId="11646" xr:uid="{00000000-0005-0000-0000-0000A02C0000}"/>
    <cellStyle name="40% - Accent1 2 2 3 2 5" xfId="19601" xr:uid="{00000000-0005-0000-0000-0000A12C0000}"/>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3" xfId="24008" xr:uid="{00000000-0005-0000-0000-0000A62C0000}"/>
    <cellStyle name="40% - Accent1 2 2 3 3 3" xfId="12524" xr:uid="{00000000-0005-0000-0000-0000A72C0000}"/>
    <cellStyle name="40% - Accent1 2 2 3 3 4" xfId="20479" xr:uid="{00000000-0005-0000-0000-0000A82C0000}"/>
    <cellStyle name="40% - Accent1 2 2 3 4" xfId="6329" xr:uid="{00000000-0005-0000-0000-0000A92C0000}"/>
    <cellStyle name="40% - Accent1 2 2 3 4 2" xfId="14304" xr:uid="{00000000-0005-0000-0000-0000AA2C0000}"/>
    <cellStyle name="40% - Accent1 2 2 3 4 3" xfId="22251" xr:uid="{00000000-0005-0000-0000-0000AB2C0000}"/>
    <cellStyle name="40% - Accent1 2 2 3 5" xfId="9872" xr:uid="{00000000-0005-0000-0000-0000AC2C0000}"/>
    <cellStyle name="40% - Accent1 2 2 3 5 2" xfId="17830" xr:uid="{00000000-0005-0000-0000-0000AD2C0000}"/>
    <cellStyle name="40% - Accent1 2 2 3 5 3" xfId="25774" xr:uid="{00000000-0005-0000-0000-0000AE2C0000}"/>
    <cellStyle name="40% - Accent1 2 2 3 6" xfId="10768" xr:uid="{00000000-0005-0000-0000-0000AF2C0000}"/>
    <cellStyle name="40% - Accent1 2 2 3 7" xfId="18723" xr:uid="{00000000-0005-0000-0000-0000B02C0000}"/>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3" xfId="24417" xr:uid="{00000000-0005-0000-0000-0000B62C0000}"/>
    <cellStyle name="40% - Accent1 2 2 4 2 3" xfId="12933" xr:uid="{00000000-0005-0000-0000-0000B72C0000}"/>
    <cellStyle name="40% - Accent1 2 2 4 2 4" xfId="20888" xr:uid="{00000000-0005-0000-0000-0000B82C0000}"/>
    <cellStyle name="40% - Accent1 2 2 4 3" xfId="6741" xr:uid="{00000000-0005-0000-0000-0000B92C0000}"/>
    <cellStyle name="40% - Accent1 2 2 4 3 2" xfId="14713" xr:uid="{00000000-0005-0000-0000-0000BA2C0000}"/>
    <cellStyle name="40% - Accent1 2 2 4 3 3" xfId="22660" xr:uid="{00000000-0005-0000-0000-0000BB2C0000}"/>
    <cellStyle name="40% - Accent1 2 2 4 4" xfId="11177" xr:uid="{00000000-0005-0000-0000-0000BC2C0000}"/>
    <cellStyle name="40% - Accent1 2 2 4 5" xfId="19132" xr:uid="{00000000-0005-0000-0000-0000BD2C0000}"/>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3" xfId="23539" xr:uid="{00000000-0005-0000-0000-0000C22C0000}"/>
    <cellStyle name="40% - Accent1 2 2 5 3" xfId="12055" xr:uid="{00000000-0005-0000-0000-0000C32C0000}"/>
    <cellStyle name="40% - Accent1 2 2 5 4" xfId="20010" xr:uid="{00000000-0005-0000-0000-0000C42C0000}"/>
    <cellStyle name="40% - Accent1 2 2 6" xfId="5850" xr:uid="{00000000-0005-0000-0000-0000C52C0000}"/>
    <cellStyle name="40% - Accent1 2 2 6 2" xfId="13834" xr:uid="{00000000-0005-0000-0000-0000C62C0000}"/>
    <cellStyle name="40% - Accent1 2 2 6 3" xfId="21782" xr:uid="{00000000-0005-0000-0000-0000C72C0000}"/>
    <cellStyle name="40% - Accent1 2 2 7" xfId="9403" xr:uid="{00000000-0005-0000-0000-0000C82C0000}"/>
    <cellStyle name="40% - Accent1 2 2 7 2" xfId="17361" xr:uid="{00000000-0005-0000-0000-0000C92C0000}"/>
    <cellStyle name="40% - Accent1 2 2 7 3" xfId="25305" xr:uid="{00000000-0005-0000-0000-0000CA2C0000}"/>
    <cellStyle name="40% - Accent1 2 2 8" xfId="10299" xr:uid="{00000000-0005-0000-0000-0000CB2C0000}"/>
    <cellStyle name="40% - Accent1 2 2 9" xfId="18254" xr:uid="{00000000-0005-0000-0000-0000CC2C0000}"/>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3" xfId="24419" xr:uid="{00000000-0005-0000-0000-0000D32C0000}"/>
    <cellStyle name="40% - Accent1 2 3 2 2 3" xfId="12935" xr:uid="{00000000-0005-0000-0000-0000D42C0000}"/>
    <cellStyle name="40% - Accent1 2 3 2 2 4" xfId="20890" xr:uid="{00000000-0005-0000-0000-0000D52C0000}"/>
    <cellStyle name="40% - Accent1 2 3 2 3" xfId="6743" xr:uid="{00000000-0005-0000-0000-0000D62C0000}"/>
    <cellStyle name="40% - Accent1 2 3 2 3 2" xfId="14715" xr:uid="{00000000-0005-0000-0000-0000D72C0000}"/>
    <cellStyle name="40% - Accent1 2 3 2 3 3" xfId="22662" xr:uid="{00000000-0005-0000-0000-0000D82C0000}"/>
    <cellStyle name="40% - Accent1 2 3 2 4" xfId="11179" xr:uid="{00000000-0005-0000-0000-0000D92C0000}"/>
    <cellStyle name="40% - Accent1 2 3 2 5" xfId="19134" xr:uid="{00000000-0005-0000-0000-0000DA2C0000}"/>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3" xfId="23541" xr:uid="{00000000-0005-0000-0000-0000DF2C0000}"/>
    <cellStyle name="40% - Accent1 2 3 3 3" xfId="12057" xr:uid="{00000000-0005-0000-0000-0000E02C0000}"/>
    <cellStyle name="40% - Accent1 2 3 3 4" xfId="20012" xr:uid="{00000000-0005-0000-0000-0000E12C0000}"/>
    <cellStyle name="40% - Accent1 2 3 4" xfId="5852" xr:uid="{00000000-0005-0000-0000-0000E22C0000}"/>
    <cellStyle name="40% - Accent1 2 3 4 2" xfId="13836" xr:uid="{00000000-0005-0000-0000-0000E32C0000}"/>
    <cellStyle name="40% - Accent1 2 3 4 3" xfId="21784" xr:uid="{00000000-0005-0000-0000-0000E42C0000}"/>
    <cellStyle name="40% - Accent1 2 3 5" xfId="9405" xr:uid="{00000000-0005-0000-0000-0000E52C0000}"/>
    <cellStyle name="40% - Accent1 2 3 5 2" xfId="17363" xr:uid="{00000000-0005-0000-0000-0000E62C0000}"/>
    <cellStyle name="40% - Accent1 2 3 5 3" xfId="25307" xr:uid="{00000000-0005-0000-0000-0000E72C0000}"/>
    <cellStyle name="40% - Accent1 2 3 6" xfId="10301" xr:uid="{00000000-0005-0000-0000-0000E82C0000}"/>
    <cellStyle name="40% - Accent1 2 3 7" xfId="18256" xr:uid="{00000000-0005-0000-0000-0000E92C0000}"/>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3" xfId="24885" xr:uid="{00000000-0005-0000-0000-0000F02C0000}"/>
    <cellStyle name="40% - Accent1 2 4 2 2 3" xfId="13401" xr:uid="{00000000-0005-0000-0000-0000F12C0000}"/>
    <cellStyle name="40% - Accent1 2 4 2 2 4" xfId="21356" xr:uid="{00000000-0005-0000-0000-0000F22C0000}"/>
    <cellStyle name="40% - Accent1 2 4 2 3" xfId="7209" xr:uid="{00000000-0005-0000-0000-0000F32C0000}"/>
    <cellStyle name="40% - Accent1 2 4 2 3 2" xfId="15181" xr:uid="{00000000-0005-0000-0000-0000F42C0000}"/>
    <cellStyle name="40% - Accent1 2 4 2 3 3" xfId="23128" xr:uid="{00000000-0005-0000-0000-0000F52C0000}"/>
    <cellStyle name="40% - Accent1 2 4 2 4" xfId="11645" xr:uid="{00000000-0005-0000-0000-0000F62C0000}"/>
    <cellStyle name="40% - Accent1 2 4 2 5" xfId="19600" xr:uid="{00000000-0005-0000-0000-0000F72C0000}"/>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3" xfId="24007" xr:uid="{00000000-0005-0000-0000-0000FC2C0000}"/>
    <cellStyle name="40% - Accent1 2 4 3 3" xfId="12523" xr:uid="{00000000-0005-0000-0000-0000FD2C0000}"/>
    <cellStyle name="40% - Accent1 2 4 3 4" xfId="20478" xr:uid="{00000000-0005-0000-0000-0000FE2C0000}"/>
    <cellStyle name="40% - Accent1 2 4 4" xfId="6328" xr:uid="{00000000-0005-0000-0000-0000FF2C0000}"/>
    <cellStyle name="40% - Accent1 2 4 4 2" xfId="14303" xr:uid="{00000000-0005-0000-0000-0000002D0000}"/>
    <cellStyle name="40% - Accent1 2 4 4 3" xfId="22250" xr:uid="{00000000-0005-0000-0000-0000012D0000}"/>
    <cellStyle name="40% - Accent1 2 4 5" xfId="9871" xr:uid="{00000000-0005-0000-0000-0000022D0000}"/>
    <cellStyle name="40% - Accent1 2 4 5 2" xfId="17829" xr:uid="{00000000-0005-0000-0000-0000032D0000}"/>
    <cellStyle name="40% - Accent1 2 4 5 3" xfId="25773" xr:uid="{00000000-0005-0000-0000-0000042D0000}"/>
    <cellStyle name="40% - Accent1 2 4 6" xfId="10767" xr:uid="{00000000-0005-0000-0000-0000052D0000}"/>
    <cellStyle name="40% - Accent1 2 4 7" xfId="18722" xr:uid="{00000000-0005-0000-0000-0000062D0000}"/>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3" xfId="24416" xr:uid="{00000000-0005-0000-0000-00000C2D0000}"/>
    <cellStyle name="40% - Accent1 2 5 2 3" xfId="12932" xr:uid="{00000000-0005-0000-0000-00000D2D0000}"/>
    <cellStyle name="40% - Accent1 2 5 2 4" xfId="20887" xr:uid="{00000000-0005-0000-0000-00000E2D0000}"/>
    <cellStyle name="40% - Accent1 2 5 3" xfId="6740" xr:uid="{00000000-0005-0000-0000-00000F2D0000}"/>
    <cellStyle name="40% - Accent1 2 5 3 2" xfId="14712" xr:uid="{00000000-0005-0000-0000-0000102D0000}"/>
    <cellStyle name="40% - Accent1 2 5 3 3" xfId="22659" xr:uid="{00000000-0005-0000-0000-0000112D0000}"/>
    <cellStyle name="40% - Accent1 2 5 4" xfId="11176" xr:uid="{00000000-0005-0000-0000-0000122D0000}"/>
    <cellStyle name="40% - Accent1 2 5 5" xfId="19131" xr:uid="{00000000-0005-0000-0000-0000132D0000}"/>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3" xfId="23538" xr:uid="{00000000-0005-0000-0000-0000182D0000}"/>
    <cellStyle name="40% - Accent1 2 6 3" xfId="12054" xr:uid="{00000000-0005-0000-0000-0000192D0000}"/>
    <cellStyle name="40% - Accent1 2 6 4" xfId="20009" xr:uid="{00000000-0005-0000-0000-00001A2D0000}"/>
    <cellStyle name="40% - Accent1 2 7" xfId="5849" xr:uid="{00000000-0005-0000-0000-00001B2D0000}"/>
    <cellStyle name="40% - Accent1 2 7 2" xfId="13833" xr:uid="{00000000-0005-0000-0000-00001C2D0000}"/>
    <cellStyle name="40% - Accent1 2 7 3" xfId="21781" xr:uid="{00000000-0005-0000-0000-00001D2D0000}"/>
    <cellStyle name="40% - Accent1 2 8" xfId="9402" xr:uid="{00000000-0005-0000-0000-00001E2D0000}"/>
    <cellStyle name="40% - Accent1 2 8 2" xfId="17360" xr:uid="{00000000-0005-0000-0000-00001F2D0000}"/>
    <cellStyle name="40% - Accent1 2 8 3" xfId="25304" xr:uid="{00000000-0005-0000-0000-0000202D0000}"/>
    <cellStyle name="40% - Accent1 2 9" xfId="10298" xr:uid="{00000000-0005-0000-0000-0000212D0000}"/>
    <cellStyle name="40% - Accent1 2_Exh G" xfId="2725" xr:uid="{00000000-0005-0000-0000-0000222D0000}"/>
    <cellStyle name="40% - Accent1 3" xfId="354" xr:uid="{00000000-0005-0000-0000-0000232D0000}"/>
    <cellStyle name="40% - Accent1 3 10" xfId="18257" xr:uid="{00000000-0005-0000-0000-0000242D0000}"/>
    <cellStyle name="40% - Accent1 3 2" xfId="355" xr:uid="{00000000-0005-0000-0000-0000252D0000}"/>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3" xfId="24422" xr:uid="{00000000-0005-0000-0000-00002B2D0000}"/>
    <cellStyle name="40% - Accent1 3 2 2 2 2 3" xfId="12938" xr:uid="{00000000-0005-0000-0000-00002C2D0000}"/>
    <cellStyle name="40% - Accent1 3 2 2 2 2 4" xfId="20893" xr:uid="{00000000-0005-0000-0000-00002D2D0000}"/>
    <cellStyle name="40% - Accent1 3 2 2 2 3" xfId="6746" xr:uid="{00000000-0005-0000-0000-00002E2D0000}"/>
    <cellStyle name="40% - Accent1 3 2 2 2 3 2" xfId="14718" xr:uid="{00000000-0005-0000-0000-00002F2D0000}"/>
    <cellStyle name="40% - Accent1 3 2 2 2 3 3" xfId="22665" xr:uid="{00000000-0005-0000-0000-0000302D0000}"/>
    <cellStyle name="40% - Accent1 3 2 2 2 4" xfId="11182" xr:uid="{00000000-0005-0000-0000-0000312D0000}"/>
    <cellStyle name="40% - Accent1 3 2 2 2 5" xfId="19137" xr:uid="{00000000-0005-0000-0000-0000322D0000}"/>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3" xfId="23544" xr:uid="{00000000-0005-0000-0000-0000372D0000}"/>
    <cellStyle name="40% - Accent1 3 2 2 3 3" xfId="12060" xr:uid="{00000000-0005-0000-0000-0000382D0000}"/>
    <cellStyle name="40% - Accent1 3 2 2 3 4" xfId="20015" xr:uid="{00000000-0005-0000-0000-0000392D0000}"/>
    <cellStyle name="40% - Accent1 3 2 2 4" xfId="5855" xr:uid="{00000000-0005-0000-0000-00003A2D0000}"/>
    <cellStyle name="40% - Accent1 3 2 2 4 2" xfId="13839" xr:uid="{00000000-0005-0000-0000-00003B2D0000}"/>
    <cellStyle name="40% - Accent1 3 2 2 4 3" xfId="21787" xr:uid="{00000000-0005-0000-0000-00003C2D0000}"/>
    <cellStyle name="40% - Accent1 3 2 2 5" xfId="9408" xr:uid="{00000000-0005-0000-0000-00003D2D0000}"/>
    <cellStyle name="40% - Accent1 3 2 2 5 2" xfId="17366" xr:uid="{00000000-0005-0000-0000-00003E2D0000}"/>
    <cellStyle name="40% - Accent1 3 2 2 5 3" xfId="25310" xr:uid="{00000000-0005-0000-0000-00003F2D0000}"/>
    <cellStyle name="40% - Accent1 3 2 2 6" xfId="10304" xr:uid="{00000000-0005-0000-0000-0000402D0000}"/>
    <cellStyle name="40% - Accent1 3 2 2 7" xfId="18259" xr:uid="{00000000-0005-0000-0000-0000412D0000}"/>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3" xfId="24888" xr:uid="{00000000-0005-0000-0000-0000482D0000}"/>
    <cellStyle name="40% - Accent1 3 2 3 2 2 3" xfId="13404" xr:uid="{00000000-0005-0000-0000-0000492D0000}"/>
    <cellStyle name="40% - Accent1 3 2 3 2 2 4" xfId="21359" xr:uid="{00000000-0005-0000-0000-00004A2D0000}"/>
    <cellStyle name="40% - Accent1 3 2 3 2 3" xfId="7212" xr:uid="{00000000-0005-0000-0000-00004B2D0000}"/>
    <cellStyle name="40% - Accent1 3 2 3 2 3 2" xfId="15184" xr:uid="{00000000-0005-0000-0000-00004C2D0000}"/>
    <cellStyle name="40% - Accent1 3 2 3 2 3 3" xfId="23131" xr:uid="{00000000-0005-0000-0000-00004D2D0000}"/>
    <cellStyle name="40% - Accent1 3 2 3 2 4" xfId="11648" xr:uid="{00000000-0005-0000-0000-00004E2D0000}"/>
    <cellStyle name="40% - Accent1 3 2 3 2 5" xfId="19603" xr:uid="{00000000-0005-0000-0000-00004F2D0000}"/>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3" xfId="24010" xr:uid="{00000000-0005-0000-0000-0000542D0000}"/>
    <cellStyle name="40% - Accent1 3 2 3 3 3" xfId="12526" xr:uid="{00000000-0005-0000-0000-0000552D0000}"/>
    <cellStyle name="40% - Accent1 3 2 3 3 4" xfId="20481" xr:uid="{00000000-0005-0000-0000-0000562D0000}"/>
    <cellStyle name="40% - Accent1 3 2 3 4" xfId="6331" xr:uid="{00000000-0005-0000-0000-0000572D0000}"/>
    <cellStyle name="40% - Accent1 3 2 3 4 2" xfId="14306" xr:uid="{00000000-0005-0000-0000-0000582D0000}"/>
    <cellStyle name="40% - Accent1 3 2 3 4 3" xfId="22253" xr:uid="{00000000-0005-0000-0000-0000592D0000}"/>
    <cellStyle name="40% - Accent1 3 2 3 5" xfId="9874" xr:uid="{00000000-0005-0000-0000-00005A2D0000}"/>
    <cellStyle name="40% - Accent1 3 2 3 5 2" xfId="17832" xr:uid="{00000000-0005-0000-0000-00005B2D0000}"/>
    <cellStyle name="40% - Accent1 3 2 3 5 3" xfId="25776" xr:uid="{00000000-0005-0000-0000-00005C2D0000}"/>
    <cellStyle name="40% - Accent1 3 2 3 6" xfId="10770" xr:uid="{00000000-0005-0000-0000-00005D2D0000}"/>
    <cellStyle name="40% - Accent1 3 2 3 7" xfId="18725" xr:uid="{00000000-0005-0000-0000-00005E2D0000}"/>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3" xfId="24421" xr:uid="{00000000-0005-0000-0000-0000642D0000}"/>
    <cellStyle name="40% - Accent1 3 2 4 2 3" xfId="12937" xr:uid="{00000000-0005-0000-0000-0000652D0000}"/>
    <cellStyle name="40% - Accent1 3 2 4 2 4" xfId="20892" xr:uid="{00000000-0005-0000-0000-0000662D0000}"/>
    <cellStyle name="40% - Accent1 3 2 4 3" xfId="6745" xr:uid="{00000000-0005-0000-0000-0000672D0000}"/>
    <cellStyle name="40% - Accent1 3 2 4 3 2" xfId="14717" xr:uid="{00000000-0005-0000-0000-0000682D0000}"/>
    <cellStyle name="40% - Accent1 3 2 4 3 3" xfId="22664" xr:uid="{00000000-0005-0000-0000-0000692D0000}"/>
    <cellStyle name="40% - Accent1 3 2 4 4" xfId="11181" xr:uid="{00000000-0005-0000-0000-00006A2D0000}"/>
    <cellStyle name="40% - Accent1 3 2 4 5" xfId="19136" xr:uid="{00000000-0005-0000-0000-00006B2D0000}"/>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3" xfId="23543" xr:uid="{00000000-0005-0000-0000-0000702D0000}"/>
    <cellStyle name="40% - Accent1 3 2 5 3" xfId="12059" xr:uid="{00000000-0005-0000-0000-0000712D0000}"/>
    <cellStyle name="40% - Accent1 3 2 5 4" xfId="20014" xr:uid="{00000000-0005-0000-0000-0000722D0000}"/>
    <cellStyle name="40% - Accent1 3 2 6" xfId="5854" xr:uid="{00000000-0005-0000-0000-0000732D0000}"/>
    <cellStyle name="40% - Accent1 3 2 6 2" xfId="13838" xr:uid="{00000000-0005-0000-0000-0000742D0000}"/>
    <cellStyle name="40% - Accent1 3 2 6 3" xfId="21786" xr:uid="{00000000-0005-0000-0000-0000752D0000}"/>
    <cellStyle name="40% - Accent1 3 2 7" xfId="9407" xr:uid="{00000000-0005-0000-0000-0000762D0000}"/>
    <cellStyle name="40% - Accent1 3 2 7 2" xfId="17365" xr:uid="{00000000-0005-0000-0000-0000772D0000}"/>
    <cellStyle name="40% - Accent1 3 2 7 3" xfId="25309" xr:uid="{00000000-0005-0000-0000-0000782D0000}"/>
    <cellStyle name="40% - Accent1 3 2 8" xfId="10303" xr:uid="{00000000-0005-0000-0000-0000792D0000}"/>
    <cellStyle name="40% - Accent1 3 2 9" xfId="18258" xr:uid="{00000000-0005-0000-0000-00007A2D0000}"/>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3" xfId="24423" xr:uid="{00000000-0005-0000-0000-0000812D0000}"/>
    <cellStyle name="40% - Accent1 3 3 2 2 3" xfId="12939" xr:uid="{00000000-0005-0000-0000-0000822D0000}"/>
    <cellStyle name="40% - Accent1 3 3 2 2 4" xfId="20894" xr:uid="{00000000-0005-0000-0000-0000832D0000}"/>
    <cellStyle name="40% - Accent1 3 3 2 3" xfId="6747" xr:uid="{00000000-0005-0000-0000-0000842D0000}"/>
    <cellStyle name="40% - Accent1 3 3 2 3 2" xfId="14719" xr:uid="{00000000-0005-0000-0000-0000852D0000}"/>
    <cellStyle name="40% - Accent1 3 3 2 3 3" xfId="22666" xr:uid="{00000000-0005-0000-0000-0000862D0000}"/>
    <cellStyle name="40% - Accent1 3 3 2 4" xfId="11183" xr:uid="{00000000-0005-0000-0000-0000872D0000}"/>
    <cellStyle name="40% - Accent1 3 3 2 5" xfId="19138" xr:uid="{00000000-0005-0000-0000-0000882D0000}"/>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3" xfId="23545" xr:uid="{00000000-0005-0000-0000-00008D2D0000}"/>
    <cellStyle name="40% - Accent1 3 3 3 3" xfId="12061" xr:uid="{00000000-0005-0000-0000-00008E2D0000}"/>
    <cellStyle name="40% - Accent1 3 3 3 4" xfId="20016" xr:uid="{00000000-0005-0000-0000-00008F2D0000}"/>
    <cellStyle name="40% - Accent1 3 3 4" xfId="5856" xr:uid="{00000000-0005-0000-0000-0000902D0000}"/>
    <cellStyle name="40% - Accent1 3 3 4 2" xfId="13840" xr:uid="{00000000-0005-0000-0000-0000912D0000}"/>
    <cellStyle name="40% - Accent1 3 3 4 3" xfId="21788" xr:uid="{00000000-0005-0000-0000-0000922D0000}"/>
    <cellStyle name="40% - Accent1 3 3 5" xfId="9409" xr:uid="{00000000-0005-0000-0000-0000932D0000}"/>
    <cellStyle name="40% - Accent1 3 3 5 2" xfId="17367" xr:uid="{00000000-0005-0000-0000-0000942D0000}"/>
    <cellStyle name="40% - Accent1 3 3 5 3" xfId="25311" xr:uid="{00000000-0005-0000-0000-0000952D0000}"/>
    <cellStyle name="40% - Accent1 3 3 6" xfId="10305" xr:uid="{00000000-0005-0000-0000-0000962D0000}"/>
    <cellStyle name="40% - Accent1 3 3 7" xfId="18260" xr:uid="{00000000-0005-0000-0000-0000972D0000}"/>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3" xfId="24887" xr:uid="{00000000-0005-0000-0000-00009E2D0000}"/>
    <cellStyle name="40% - Accent1 3 4 2 2 3" xfId="13403" xr:uid="{00000000-0005-0000-0000-00009F2D0000}"/>
    <cellStyle name="40% - Accent1 3 4 2 2 4" xfId="21358" xr:uid="{00000000-0005-0000-0000-0000A02D0000}"/>
    <cellStyle name="40% - Accent1 3 4 2 3" xfId="7211" xr:uid="{00000000-0005-0000-0000-0000A12D0000}"/>
    <cellStyle name="40% - Accent1 3 4 2 3 2" xfId="15183" xr:uid="{00000000-0005-0000-0000-0000A22D0000}"/>
    <cellStyle name="40% - Accent1 3 4 2 3 3" xfId="23130" xr:uid="{00000000-0005-0000-0000-0000A32D0000}"/>
    <cellStyle name="40% - Accent1 3 4 2 4" xfId="11647" xr:uid="{00000000-0005-0000-0000-0000A42D0000}"/>
    <cellStyle name="40% - Accent1 3 4 2 5" xfId="19602" xr:uid="{00000000-0005-0000-0000-0000A52D0000}"/>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3" xfId="24009" xr:uid="{00000000-0005-0000-0000-0000AA2D0000}"/>
    <cellStyle name="40% - Accent1 3 4 3 3" xfId="12525" xr:uid="{00000000-0005-0000-0000-0000AB2D0000}"/>
    <cellStyle name="40% - Accent1 3 4 3 4" xfId="20480" xr:uid="{00000000-0005-0000-0000-0000AC2D0000}"/>
    <cellStyle name="40% - Accent1 3 4 4" xfId="6330" xr:uid="{00000000-0005-0000-0000-0000AD2D0000}"/>
    <cellStyle name="40% - Accent1 3 4 4 2" xfId="14305" xr:uid="{00000000-0005-0000-0000-0000AE2D0000}"/>
    <cellStyle name="40% - Accent1 3 4 4 3" xfId="22252" xr:uid="{00000000-0005-0000-0000-0000AF2D0000}"/>
    <cellStyle name="40% - Accent1 3 4 5" xfId="9873" xr:uid="{00000000-0005-0000-0000-0000B02D0000}"/>
    <cellStyle name="40% - Accent1 3 4 5 2" xfId="17831" xr:uid="{00000000-0005-0000-0000-0000B12D0000}"/>
    <cellStyle name="40% - Accent1 3 4 5 3" xfId="25775" xr:uid="{00000000-0005-0000-0000-0000B22D0000}"/>
    <cellStyle name="40% - Accent1 3 4 6" xfId="10769" xr:uid="{00000000-0005-0000-0000-0000B32D0000}"/>
    <cellStyle name="40% - Accent1 3 4 7" xfId="18724" xr:uid="{00000000-0005-0000-0000-0000B42D0000}"/>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3" xfId="24420" xr:uid="{00000000-0005-0000-0000-0000BA2D0000}"/>
    <cellStyle name="40% - Accent1 3 5 2 3" xfId="12936" xr:uid="{00000000-0005-0000-0000-0000BB2D0000}"/>
    <cellStyle name="40% - Accent1 3 5 2 4" xfId="20891" xr:uid="{00000000-0005-0000-0000-0000BC2D0000}"/>
    <cellStyle name="40% - Accent1 3 5 3" xfId="6744" xr:uid="{00000000-0005-0000-0000-0000BD2D0000}"/>
    <cellStyle name="40% - Accent1 3 5 3 2" xfId="14716" xr:uid="{00000000-0005-0000-0000-0000BE2D0000}"/>
    <cellStyle name="40% - Accent1 3 5 3 3" xfId="22663" xr:uid="{00000000-0005-0000-0000-0000BF2D0000}"/>
    <cellStyle name="40% - Accent1 3 5 4" xfId="11180" xr:uid="{00000000-0005-0000-0000-0000C02D0000}"/>
    <cellStyle name="40% - Accent1 3 5 5" xfId="19135" xr:uid="{00000000-0005-0000-0000-0000C12D0000}"/>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3" xfId="23542" xr:uid="{00000000-0005-0000-0000-0000C62D0000}"/>
    <cellStyle name="40% - Accent1 3 6 3" xfId="12058" xr:uid="{00000000-0005-0000-0000-0000C72D0000}"/>
    <cellStyle name="40% - Accent1 3 6 4" xfId="20013" xr:uid="{00000000-0005-0000-0000-0000C82D0000}"/>
    <cellStyle name="40% - Accent1 3 7" xfId="5853" xr:uid="{00000000-0005-0000-0000-0000C92D0000}"/>
    <cellStyle name="40% - Accent1 3 7 2" xfId="13837" xr:uid="{00000000-0005-0000-0000-0000CA2D0000}"/>
    <cellStyle name="40% - Accent1 3 7 3" xfId="21785" xr:uid="{00000000-0005-0000-0000-0000CB2D0000}"/>
    <cellStyle name="40% - Accent1 3 8" xfId="9406" xr:uid="{00000000-0005-0000-0000-0000CC2D0000}"/>
    <cellStyle name="40% - Accent1 3 8 2" xfId="17364" xr:uid="{00000000-0005-0000-0000-0000CD2D0000}"/>
    <cellStyle name="40% - Accent1 3 8 3" xfId="25308" xr:uid="{00000000-0005-0000-0000-0000CE2D0000}"/>
    <cellStyle name="40% - Accent1 3 9" xfId="10302" xr:uid="{00000000-0005-0000-0000-0000CF2D0000}"/>
    <cellStyle name="40% - Accent1 3_Exh G" xfId="2737" xr:uid="{00000000-0005-0000-0000-0000D02D0000}"/>
    <cellStyle name="40% - Accent1 4" xfId="358" xr:uid="{00000000-0005-0000-0000-0000D12D0000}"/>
    <cellStyle name="40% - Accent1 4 10" xfId="18261" xr:uid="{00000000-0005-0000-0000-0000D22D0000}"/>
    <cellStyle name="40% - Accent1 4 2" xfId="359" xr:uid="{00000000-0005-0000-0000-0000D32D0000}"/>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3" xfId="24426" xr:uid="{00000000-0005-0000-0000-0000D92D0000}"/>
    <cellStyle name="40% - Accent1 4 2 2 2 2 3" xfId="12942" xr:uid="{00000000-0005-0000-0000-0000DA2D0000}"/>
    <cellStyle name="40% - Accent1 4 2 2 2 2 4" xfId="20897" xr:uid="{00000000-0005-0000-0000-0000DB2D0000}"/>
    <cellStyle name="40% - Accent1 4 2 2 2 3" xfId="6750" xr:uid="{00000000-0005-0000-0000-0000DC2D0000}"/>
    <cellStyle name="40% - Accent1 4 2 2 2 3 2" xfId="14722" xr:uid="{00000000-0005-0000-0000-0000DD2D0000}"/>
    <cellStyle name="40% - Accent1 4 2 2 2 3 3" xfId="22669" xr:uid="{00000000-0005-0000-0000-0000DE2D0000}"/>
    <cellStyle name="40% - Accent1 4 2 2 2 4" xfId="11186" xr:uid="{00000000-0005-0000-0000-0000DF2D0000}"/>
    <cellStyle name="40% - Accent1 4 2 2 2 5" xfId="19141" xr:uid="{00000000-0005-0000-0000-0000E02D0000}"/>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3" xfId="23548" xr:uid="{00000000-0005-0000-0000-0000E52D0000}"/>
    <cellStyle name="40% - Accent1 4 2 2 3 3" xfId="12064" xr:uid="{00000000-0005-0000-0000-0000E62D0000}"/>
    <cellStyle name="40% - Accent1 4 2 2 3 4" xfId="20019" xr:uid="{00000000-0005-0000-0000-0000E72D0000}"/>
    <cellStyle name="40% - Accent1 4 2 2 4" xfId="5859" xr:uid="{00000000-0005-0000-0000-0000E82D0000}"/>
    <cellStyle name="40% - Accent1 4 2 2 4 2" xfId="13843" xr:uid="{00000000-0005-0000-0000-0000E92D0000}"/>
    <cellStyle name="40% - Accent1 4 2 2 4 3" xfId="21791" xr:uid="{00000000-0005-0000-0000-0000EA2D0000}"/>
    <cellStyle name="40% - Accent1 4 2 2 5" xfId="9412" xr:uid="{00000000-0005-0000-0000-0000EB2D0000}"/>
    <cellStyle name="40% - Accent1 4 2 2 5 2" xfId="17370" xr:uid="{00000000-0005-0000-0000-0000EC2D0000}"/>
    <cellStyle name="40% - Accent1 4 2 2 5 3" xfId="25314" xr:uid="{00000000-0005-0000-0000-0000ED2D0000}"/>
    <cellStyle name="40% - Accent1 4 2 2 6" xfId="10308" xr:uid="{00000000-0005-0000-0000-0000EE2D0000}"/>
    <cellStyle name="40% - Accent1 4 2 2 7" xfId="18263" xr:uid="{00000000-0005-0000-0000-0000EF2D0000}"/>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3" xfId="24890" xr:uid="{00000000-0005-0000-0000-0000F62D0000}"/>
    <cellStyle name="40% - Accent1 4 2 3 2 2 3" xfId="13406" xr:uid="{00000000-0005-0000-0000-0000F72D0000}"/>
    <cellStyle name="40% - Accent1 4 2 3 2 2 4" xfId="21361" xr:uid="{00000000-0005-0000-0000-0000F82D0000}"/>
    <cellStyle name="40% - Accent1 4 2 3 2 3" xfId="7214" xr:uid="{00000000-0005-0000-0000-0000F92D0000}"/>
    <cellStyle name="40% - Accent1 4 2 3 2 3 2" xfId="15186" xr:uid="{00000000-0005-0000-0000-0000FA2D0000}"/>
    <cellStyle name="40% - Accent1 4 2 3 2 3 3" xfId="23133" xr:uid="{00000000-0005-0000-0000-0000FB2D0000}"/>
    <cellStyle name="40% - Accent1 4 2 3 2 4" xfId="11650" xr:uid="{00000000-0005-0000-0000-0000FC2D0000}"/>
    <cellStyle name="40% - Accent1 4 2 3 2 5" xfId="19605" xr:uid="{00000000-0005-0000-0000-0000FD2D0000}"/>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3" xfId="24012" xr:uid="{00000000-0005-0000-0000-0000022E0000}"/>
    <cellStyle name="40% - Accent1 4 2 3 3 3" xfId="12528" xr:uid="{00000000-0005-0000-0000-0000032E0000}"/>
    <cellStyle name="40% - Accent1 4 2 3 3 4" xfId="20483" xr:uid="{00000000-0005-0000-0000-0000042E0000}"/>
    <cellStyle name="40% - Accent1 4 2 3 4" xfId="6333" xr:uid="{00000000-0005-0000-0000-0000052E0000}"/>
    <cellStyle name="40% - Accent1 4 2 3 4 2" xfId="14308" xr:uid="{00000000-0005-0000-0000-0000062E0000}"/>
    <cellStyle name="40% - Accent1 4 2 3 4 3" xfId="22255" xr:uid="{00000000-0005-0000-0000-0000072E0000}"/>
    <cellStyle name="40% - Accent1 4 2 3 5" xfId="9876" xr:uid="{00000000-0005-0000-0000-0000082E0000}"/>
    <cellStyle name="40% - Accent1 4 2 3 5 2" xfId="17834" xr:uid="{00000000-0005-0000-0000-0000092E0000}"/>
    <cellStyle name="40% - Accent1 4 2 3 5 3" xfId="25778" xr:uid="{00000000-0005-0000-0000-00000A2E0000}"/>
    <cellStyle name="40% - Accent1 4 2 3 6" xfId="10772" xr:uid="{00000000-0005-0000-0000-00000B2E0000}"/>
    <cellStyle name="40% - Accent1 4 2 3 7" xfId="18727" xr:uid="{00000000-0005-0000-0000-00000C2E0000}"/>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3" xfId="24425" xr:uid="{00000000-0005-0000-0000-0000122E0000}"/>
    <cellStyle name="40% - Accent1 4 2 4 2 3" xfId="12941" xr:uid="{00000000-0005-0000-0000-0000132E0000}"/>
    <cellStyle name="40% - Accent1 4 2 4 2 4" xfId="20896" xr:uid="{00000000-0005-0000-0000-0000142E0000}"/>
    <cellStyle name="40% - Accent1 4 2 4 3" xfId="6749" xr:uid="{00000000-0005-0000-0000-0000152E0000}"/>
    <cellStyle name="40% - Accent1 4 2 4 3 2" xfId="14721" xr:uid="{00000000-0005-0000-0000-0000162E0000}"/>
    <cellStyle name="40% - Accent1 4 2 4 3 3" xfId="22668" xr:uid="{00000000-0005-0000-0000-0000172E0000}"/>
    <cellStyle name="40% - Accent1 4 2 4 4" xfId="11185" xr:uid="{00000000-0005-0000-0000-0000182E0000}"/>
    <cellStyle name="40% - Accent1 4 2 4 5" xfId="19140" xr:uid="{00000000-0005-0000-0000-0000192E0000}"/>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3" xfId="23547" xr:uid="{00000000-0005-0000-0000-00001E2E0000}"/>
    <cellStyle name="40% - Accent1 4 2 5 3" xfId="12063" xr:uid="{00000000-0005-0000-0000-00001F2E0000}"/>
    <cellStyle name="40% - Accent1 4 2 5 4" xfId="20018" xr:uid="{00000000-0005-0000-0000-0000202E0000}"/>
    <cellStyle name="40% - Accent1 4 2 6" xfId="5858" xr:uid="{00000000-0005-0000-0000-0000212E0000}"/>
    <cellStyle name="40% - Accent1 4 2 6 2" xfId="13842" xr:uid="{00000000-0005-0000-0000-0000222E0000}"/>
    <cellStyle name="40% - Accent1 4 2 6 3" xfId="21790" xr:uid="{00000000-0005-0000-0000-0000232E0000}"/>
    <cellStyle name="40% - Accent1 4 2 7" xfId="9411" xr:uid="{00000000-0005-0000-0000-0000242E0000}"/>
    <cellStyle name="40% - Accent1 4 2 7 2" xfId="17369" xr:uid="{00000000-0005-0000-0000-0000252E0000}"/>
    <cellStyle name="40% - Accent1 4 2 7 3" xfId="25313" xr:uid="{00000000-0005-0000-0000-0000262E0000}"/>
    <cellStyle name="40% - Accent1 4 2 8" xfId="10307" xr:uid="{00000000-0005-0000-0000-0000272E0000}"/>
    <cellStyle name="40% - Accent1 4 2 9" xfId="18262" xr:uid="{00000000-0005-0000-0000-0000282E0000}"/>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3" xfId="24427" xr:uid="{00000000-0005-0000-0000-00002F2E0000}"/>
    <cellStyle name="40% - Accent1 4 3 2 2 3" xfId="12943" xr:uid="{00000000-0005-0000-0000-0000302E0000}"/>
    <cellStyle name="40% - Accent1 4 3 2 2 4" xfId="20898" xr:uid="{00000000-0005-0000-0000-0000312E0000}"/>
    <cellStyle name="40% - Accent1 4 3 2 3" xfId="6751" xr:uid="{00000000-0005-0000-0000-0000322E0000}"/>
    <cellStyle name="40% - Accent1 4 3 2 3 2" xfId="14723" xr:uid="{00000000-0005-0000-0000-0000332E0000}"/>
    <cellStyle name="40% - Accent1 4 3 2 3 3" xfId="22670" xr:uid="{00000000-0005-0000-0000-0000342E0000}"/>
    <cellStyle name="40% - Accent1 4 3 2 4" xfId="11187" xr:uid="{00000000-0005-0000-0000-0000352E0000}"/>
    <cellStyle name="40% - Accent1 4 3 2 5" xfId="19142" xr:uid="{00000000-0005-0000-0000-0000362E0000}"/>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3" xfId="23549" xr:uid="{00000000-0005-0000-0000-00003B2E0000}"/>
    <cellStyle name="40% - Accent1 4 3 3 3" xfId="12065" xr:uid="{00000000-0005-0000-0000-00003C2E0000}"/>
    <cellStyle name="40% - Accent1 4 3 3 4" xfId="20020" xr:uid="{00000000-0005-0000-0000-00003D2E0000}"/>
    <cellStyle name="40% - Accent1 4 3 4" xfId="5860" xr:uid="{00000000-0005-0000-0000-00003E2E0000}"/>
    <cellStyle name="40% - Accent1 4 3 4 2" xfId="13844" xr:uid="{00000000-0005-0000-0000-00003F2E0000}"/>
    <cellStyle name="40% - Accent1 4 3 4 3" xfId="21792" xr:uid="{00000000-0005-0000-0000-0000402E0000}"/>
    <cellStyle name="40% - Accent1 4 3 5" xfId="9413" xr:uid="{00000000-0005-0000-0000-0000412E0000}"/>
    <cellStyle name="40% - Accent1 4 3 5 2" xfId="17371" xr:uid="{00000000-0005-0000-0000-0000422E0000}"/>
    <cellStyle name="40% - Accent1 4 3 5 3" xfId="25315" xr:uid="{00000000-0005-0000-0000-0000432E0000}"/>
    <cellStyle name="40% - Accent1 4 3 6" xfId="10309" xr:uid="{00000000-0005-0000-0000-0000442E0000}"/>
    <cellStyle name="40% - Accent1 4 3 7" xfId="18264" xr:uid="{00000000-0005-0000-0000-0000452E0000}"/>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3" xfId="24889" xr:uid="{00000000-0005-0000-0000-00004C2E0000}"/>
    <cellStyle name="40% - Accent1 4 4 2 2 3" xfId="13405" xr:uid="{00000000-0005-0000-0000-00004D2E0000}"/>
    <cellStyle name="40% - Accent1 4 4 2 2 4" xfId="21360" xr:uid="{00000000-0005-0000-0000-00004E2E0000}"/>
    <cellStyle name="40% - Accent1 4 4 2 3" xfId="7213" xr:uid="{00000000-0005-0000-0000-00004F2E0000}"/>
    <cellStyle name="40% - Accent1 4 4 2 3 2" xfId="15185" xr:uid="{00000000-0005-0000-0000-0000502E0000}"/>
    <cellStyle name="40% - Accent1 4 4 2 3 3" xfId="23132" xr:uid="{00000000-0005-0000-0000-0000512E0000}"/>
    <cellStyle name="40% - Accent1 4 4 2 4" xfId="11649" xr:uid="{00000000-0005-0000-0000-0000522E0000}"/>
    <cellStyle name="40% - Accent1 4 4 2 5" xfId="19604" xr:uid="{00000000-0005-0000-0000-0000532E0000}"/>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3" xfId="24011" xr:uid="{00000000-0005-0000-0000-0000582E0000}"/>
    <cellStyle name="40% - Accent1 4 4 3 3" xfId="12527" xr:uid="{00000000-0005-0000-0000-0000592E0000}"/>
    <cellStyle name="40% - Accent1 4 4 3 4" xfId="20482" xr:uid="{00000000-0005-0000-0000-00005A2E0000}"/>
    <cellStyle name="40% - Accent1 4 4 4" xfId="6332" xr:uid="{00000000-0005-0000-0000-00005B2E0000}"/>
    <cellStyle name="40% - Accent1 4 4 4 2" xfId="14307" xr:uid="{00000000-0005-0000-0000-00005C2E0000}"/>
    <cellStyle name="40% - Accent1 4 4 4 3" xfId="22254" xr:uid="{00000000-0005-0000-0000-00005D2E0000}"/>
    <cellStyle name="40% - Accent1 4 4 5" xfId="9875" xr:uid="{00000000-0005-0000-0000-00005E2E0000}"/>
    <cellStyle name="40% - Accent1 4 4 5 2" xfId="17833" xr:uid="{00000000-0005-0000-0000-00005F2E0000}"/>
    <cellStyle name="40% - Accent1 4 4 5 3" xfId="25777" xr:uid="{00000000-0005-0000-0000-0000602E0000}"/>
    <cellStyle name="40% - Accent1 4 4 6" xfId="10771" xr:uid="{00000000-0005-0000-0000-0000612E0000}"/>
    <cellStyle name="40% - Accent1 4 4 7" xfId="18726" xr:uid="{00000000-0005-0000-0000-0000622E0000}"/>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3" xfId="24424" xr:uid="{00000000-0005-0000-0000-0000682E0000}"/>
    <cellStyle name="40% - Accent1 4 5 2 3" xfId="12940" xr:uid="{00000000-0005-0000-0000-0000692E0000}"/>
    <cellStyle name="40% - Accent1 4 5 2 4" xfId="20895" xr:uid="{00000000-0005-0000-0000-00006A2E0000}"/>
    <cellStyle name="40% - Accent1 4 5 3" xfId="6748" xr:uid="{00000000-0005-0000-0000-00006B2E0000}"/>
    <cellStyle name="40% - Accent1 4 5 3 2" xfId="14720" xr:uid="{00000000-0005-0000-0000-00006C2E0000}"/>
    <cellStyle name="40% - Accent1 4 5 3 3" xfId="22667" xr:uid="{00000000-0005-0000-0000-00006D2E0000}"/>
    <cellStyle name="40% - Accent1 4 5 4" xfId="11184" xr:uid="{00000000-0005-0000-0000-00006E2E0000}"/>
    <cellStyle name="40% - Accent1 4 5 5" xfId="19139" xr:uid="{00000000-0005-0000-0000-00006F2E0000}"/>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3" xfId="23546" xr:uid="{00000000-0005-0000-0000-0000742E0000}"/>
    <cellStyle name="40% - Accent1 4 6 3" xfId="12062" xr:uid="{00000000-0005-0000-0000-0000752E0000}"/>
    <cellStyle name="40% - Accent1 4 6 4" xfId="20017" xr:uid="{00000000-0005-0000-0000-0000762E0000}"/>
    <cellStyle name="40% - Accent1 4 7" xfId="5857" xr:uid="{00000000-0005-0000-0000-0000772E0000}"/>
    <cellStyle name="40% - Accent1 4 7 2" xfId="13841" xr:uid="{00000000-0005-0000-0000-0000782E0000}"/>
    <cellStyle name="40% - Accent1 4 7 3" xfId="21789" xr:uid="{00000000-0005-0000-0000-0000792E0000}"/>
    <cellStyle name="40% - Accent1 4 8" xfId="9410" xr:uid="{00000000-0005-0000-0000-00007A2E0000}"/>
    <cellStyle name="40% - Accent1 4 8 2" xfId="17368" xr:uid="{00000000-0005-0000-0000-00007B2E0000}"/>
    <cellStyle name="40% - Accent1 4 8 3" xfId="25312" xr:uid="{00000000-0005-0000-0000-00007C2E0000}"/>
    <cellStyle name="40% - Accent1 4 9" xfId="10306" xr:uid="{00000000-0005-0000-0000-00007D2E0000}"/>
    <cellStyle name="40% - Accent1 4_Exh G" xfId="2749" xr:uid="{00000000-0005-0000-0000-00007E2E0000}"/>
    <cellStyle name="40% - Accent1 5" xfId="362" xr:uid="{00000000-0005-0000-0000-00007F2E0000}"/>
    <cellStyle name="40% - Accent1 5 10" xfId="18265" xr:uid="{00000000-0005-0000-0000-0000802E0000}"/>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3" xfId="24430" xr:uid="{00000000-0005-0000-0000-0000872E0000}"/>
    <cellStyle name="40% - Accent1 5 2 2 2 2 3" xfId="12946" xr:uid="{00000000-0005-0000-0000-0000882E0000}"/>
    <cellStyle name="40% - Accent1 5 2 2 2 2 4" xfId="20901" xr:uid="{00000000-0005-0000-0000-0000892E0000}"/>
    <cellStyle name="40% - Accent1 5 2 2 2 3" xfId="6754" xr:uid="{00000000-0005-0000-0000-00008A2E0000}"/>
    <cellStyle name="40% - Accent1 5 2 2 2 3 2" xfId="14726" xr:uid="{00000000-0005-0000-0000-00008B2E0000}"/>
    <cellStyle name="40% - Accent1 5 2 2 2 3 3" xfId="22673" xr:uid="{00000000-0005-0000-0000-00008C2E0000}"/>
    <cellStyle name="40% - Accent1 5 2 2 2 4" xfId="11190" xr:uid="{00000000-0005-0000-0000-00008D2E0000}"/>
    <cellStyle name="40% - Accent1 5 2 2 2 5" xfId="19145" xr:uid="{00000000-0005-0000-0000-00008E2E0000}"/>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3" xfId="23552" xr:uid="{00000000-0005-0000-0000-0000932E0000}"/>
    <cellStyle name="40% - Accent1 5 2 2 3 3" xfId="12068" xr:uid="{00000000-0005-0000-0000-0000942E0000}"/>
    <cellStyle name="40% - Accent1 5 2 2 3 4" xfId="20023" xr:uid="{00000000-0005-0000-0000-0000952E0000}"/>
    <cellStyle name="40% - Accent1 5 2 2 4" xfId="5863" xr:uid="{00000000-0005-0000-0000-0000962E0000}"/>
    <cellStyle name="40% - Accent1 5 2 2 4 2" xfId="13847" xr:uid="{00000000-0005-0000-0000-0000972E0000}"/>
    <cellStyle name="40% - Accent1 5 2 2 4 3" xfId="21795" xr:uid="{00000000-0005-0000-0000-0000982E0000}"/>
    <cellStyle name="40% - Accent1 5 2 2 5" xfId="9416" xr:uid="{00000000-0005-0000-0000-0000992E0000}"/>
    <cellStyle name="40% - Accent1 5 2 2 5 2" xfId="17374" xr:uid="{00000000-0005-0000-0000-00009A2E0000}"/>
    <cellStyle name="40% - Accent1 5 2 2 5 3" xfId="25318" xr:uid="{00000000-0005-0000-0000-00009B2E0000}"/>
    <cellStyle name="40% - Accent1 5 2 2 6" xfId="10312" xr:uid="{00000000-0005-0000-0000-00009C2E0000}"/>
    <cellStyle name="40% - Accent1 5 2 2 7" xfId="18267" xr:uid="{00000000-0005-0000-0000-00009D2E0000}"/>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3" xfId="24429" xr:uid="{00000000-0005-0000-0000-0000A32E0000}"/>
    <cellStyle name="40% - Accent1 5 2 3 2 3" xfId="12945" xr:uid="{00000000-0005-0000-0000-0000A42E0000}"/>
    <cellStyle name="40% - Accent1 5 2 3 2 4" xfId="20900" xr:uid="{00000000-0005-0000-0000-0000A52E0000}"/>
    <cellStyle name="40% - Accent1 5 2 3 3" xfId="6753" xr:uid="{00000000-0005-0000-0000-0000A62E0000}"/>
    <cellStyle name="40% - Accent1 5 2 3 3 2" xfId="14725" xr:uid="{00000000-0005-0000-0000-0000A72E0000}"/>
    <cellStyle name="40% - Accent1 5 2 3 3 3" xfId="22672" xr:uid="{00000000-0005-0000-0000-0000A82E0000}"/>
    <cellStyle name="40% - Accent1 5 2 3 4" xfId="11189" xr:uid="{00000000-0005-0000-0000-0000A92E0000}"/>
    <cellStyle name="40% - Accent1 5 2 3 5" xfId="19144" xr:uid="{00000000-0005-0000-0000-0000AA2E0000}"/>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3" xfId="23551" xr:uid="{00000000-0005-0000-0000-0000AF2E0000}"/>
    <cellStyle name="40% - Accent1 5 2 4 3" xfId="12067" xr:uid="{00000000-0005-0000-0000-0000B02E0000}"/>
    <cellStyle name="40% - Accent1 5 2 4 4" xfId="20022" xr:uid="{00000000-0005-0000-0000-0000B12E0000}"/>
    <cellStyle name="40% - Accent1 5 2 5" xfId="5862" xr:uid="{00000000-0005-0000-0000-0000B22E0000}"/>
    <cellStyle name="40% - Accent1 5 2 5 2" xfId="13846" xr:uid="{00000000-0005-0000-0000-0000B32E0000}"/>
    <cellStyle name="40% - Accent1 5 2 5 3" xfId="21794" xr:uid="{00000000-0005-0000-0000-0000B42E0000}"/>
    <cellStyle name="40% - Accent1 5 2 6" xfId="9415" xr:uid="{00000000-0005-0000-0000-0000B52E0000}"/>
    <cellStyle name="40% - Accent1 5 2 6 2" xfId="17373" xr:uid="{00000000-0005-0000-0000-0000B62E0000}"/>
    <cellStyle name="40% - Accent1 5 2 6 3" xfId="25317" xr:uid="{00000000-0005-0000-0000-0000B72E0000}"/>
    <cellStyle name="40% - Accent1 5 2 7" xfId="10311" xr:uid="{00000000-0005-0000-0000-0000B82E0000}"/>
    <cellStyle name="40% - Accent1 5 2 8" xfId="18266" xr:uid="{00000000-0005-0000-0000-0000B92E0000}"/>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3" xfId="24431" xr:uid="{00000000-0005-0000-0000-0000C02E0000}"/>
    <cellStyle name="40% - Accent1 5 3 2 2 3" xfId="12947" xr:uid="{00000000-0005-0000-0000-0000C12E0000}"/>
    <cellStyle name="40% - Accent1 5 3 2 2 4" xfId="20902" xr:uid="{00000000-0005-0000-0000-0000C22E0000}"/>
    <cellStyle name="40% - Accent1 5 3 2 3" xfId="6755" xr:uid="{00000000-0005-0000-0000-0000C32E0000}"/>
    <cellStyle name="40% - Accent1 5 3 2 3 2" xfId="14727" xr:uid="{00000000-0005-0000-0000-0000C42E0000}"/>
    <cellStyle name="40% - Accent1 5 3 2 3 3" xfId="22674" xr:uid="{00000000-0005-0000-0000-0000C52E0000}"/>
    <cellStyle name="40% - Accent1 5 3 2 4" xfId="11191" xr:uid="{00000000-0005-0000-0000-0000C62E0000}"/>
    <cellStyle name="40% - Accent1 5 3 2 5" xfId="19146" xr:uid="{00000000-0005-0000-0000-0000C72E00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3" xfId="23553" xr:uid="{00000000-0005-0000-0000-0000CC2E0000}"/>
    <cellStyle name="40% - Accent1 5 3 3 3" xfId="12069" xr:uid="{00000000-0005-0000-0000-0000CD2E0000}"/>
    <cellStyle name="40% - Accent1 5 3 3 4" xfId="20024" xr:uid="{00000000-0005-0000-0000-0000CE2E0000}"/>
    <cellStyle name="40% - Accent1 5 3 4" xfId="5864" xr:uid="{00000000-0005-0000-0000-0000CF2E0000}"/>
    <cellStyle name="40% - Accent1 5 3 4 2" xfId="13848" xr:uid="{00000000-0005-0000-0000-0000D02E0000}"/>
    <cellStyle name="40% - Accent1 5 3 4 3" xfId="21796" xr:uid="{00000000-0005-0000-0000-0000D12E0000}"/>
    <cellStyle name="40% - Accent1 5 3 5" xfId="9417" xr:uid="{00000000-0005-0000-0000-0000D22E0000}"/>
    <cellStyle name="40% - Accent1 5 3 5 2" xfId="17375" xr:uid="{00000000-0005-0000-0000-0000D32E0000}"/>
    <cellStyle name="40% - Accent1 5 3 5 3" xfId="25319" xr:uid="{00000000-0005-0000-0000-0000D42E0000}"/>
    <cellStyle name="40% - Accent1 5 3 6" xfId="10313" xr:uid="{00000000-0005-0000-0000-0000D52E0000}"/>
    <cellStyle name="40% - Accent1 5 3 7" xfId="18268" xr:uid="{00000000-0005-0000-0000-0000D62E0000}"/>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3" xfId="24428" xr:uid="{00000000-0005-0000-0000-0000DD2E0000}"/>
    <cellStyle name="40% - Accent1 5 5 2 3" xfId="12944" xr:uid="{00000000-0005-0000-0000-0000DE2E0000}"/>
    <cellStyle name="40% - Accent1 5 5 2 4" xfId="20899" xr:uid="{00000000-0005-0000-0000-0000DF2E0000}"/>
    <cellStyle name="40% - Accent1 5 5 3" xfId="6752" xr:uid="{00000000-0005-0000-0000-0000E02E0000}"/>
    <cellStyle name="40% - Accent1 5 5 3 2" xfId="14724" xr:uid="{00000000-0005-0000-0000-0000E12E0000}"/>
    <cellStyle name="40% - Accent1 5 5 3 3" xfId="22671" xr:uid="{00000000-0005-0000-0000-0000E22E0000}"/>
    <cellStyle name="40% - Accent1 5 5 4" xfId="11188" xr:uid="{00000000-0005-0000-0000-0000E32E0000}"/>
    <cellStyle name="40% - Accent1 5 5 5" xfId="19143" xr:uid="{00000000-0005-0000-0000-0000E42E000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3" xfId="23550" xr:uid="{00000000-0005-0000-0000-0000E92E0000}"/>
    <cellStyle name="40% - Accent1 5 6 3" xfId="12066" xr:uid="{00000000-0005-0000-0000-0000EA2E0000}"/>
    <cellStyle name="40% - Accent1 5 6 4" xfId="20021" xr:uid="{00000000-0005-0000-0000-0000EB2E0000}"/>
    <cellStyle name="40% - Accent1 5 7" xfId="5861" xr:uid="{00000000-0005-0000-0000-0000EC2E0000}"/>
    <cellStyle name="40% - Accent1 5 7 2" xfId="13845" xr:uid="{00000000-0005-0000-0000-0000ED2E0000}"/>
    <cellStyle name="40% - Accent1 5 7 3" xfId="21793" xr:uid="{00000000-0005-0000-0000-0000EE2E0000}"/>
    <cellStyle name="40% - Accent1 5 8" xfId="9414" xr:uid="{00000000-0005-0000-0000-0000EF2E0000}"/>
    <cellStyle name="40% - Accent1 5 8 2" xfId="17372" xr:uid="{00000000-0005-0000-0000-0000F02E0000}"/>
    <cellStyle name="40% - Accent1 5 8 3" xfId="25316" xr:uid="{00000000-0005-0000-0000-0000F12E0000}"/>
    <cellStyle name="40% - Accent1 5 9" xfId="10310" xr:uid="{00000000-0005-0000-0000-0000F22E0000}"/>
    <cellStyle name="40% - Accent1 5_Exh G" xfId="2761" xr:uid="{00000000-0005-0000-0000-0000F32E0000}"/>
    <cellStyle name="40% - Accent1 6" xfId="366" xr:uid="{00000000-0005-0000-0000-0000F42E0000}"/>
    <cellStyle name="40% - Accent1 6 10" xfId="18269" xr:uid="{00000000-0005-0000-0000-0000F52E0000}"/>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3" xfId="24434" xr:uid="{00000000-0005-0000-0000-0000FC2E0000}"/>
    <cellStyle name="40% - Accent1 6 2 2 2 2 3" xfId="12950" xr:uid="{00000000-0005-0000-0000-0000FD2E0000}"/>
    <cellStyle name="40% - Accent1 6 2 2 2 2 4" xfId="20905" xr:uid="{00000000-0005-0000-0000-0000FE2E0000}"/>
    <cellStyle name="40% - Accent1 6 2 2 2 3" xfId="6758" xr:uid="{00000000-0005-0000-0000-0000FF2E0000}"/>
    <cellStyle name="40% - Accent1 6 2 2 2 3 2" xfId="14730" xr:uid="{00000000-0005-0000-0000-0000002F0000}"/>
    <cellStyle name="40% - Accent1 6 2 2 2 3 3" xfId="22677" xr:uid="{00000000-0005-0000-0000-0000012F0000}"/>
    <cellStyle name="40% - Accent1 6 2 2 2 4" xfId="11194" xr:uid="{00000000-0005-0000-0000-0000022F0000}"/>
    <cellStyle name="40% - Accent1 6 2 2 2 5" xfId="19149" xr:uid="{00000000-0005-0000-0000-0000032F0000}"/>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3" xfId="23556" xr:uid="{00000000-0005-0000-0000-0000082F0000}"/>
    <cellStyle name="40% - Accent1 6 2 2 3 3" xfId="12072" xr:uid="{00000000-0005-0000-0000-0000092F0000}"/>
    <cellStyle name="40% - Accent1 6 2 2 3 4" xfId="20027" xr:uid="{00000000-0005-0000-0000-00000A2F0000}"/>
    <cellStyle name="40% - Accent1 6 2 2 4" xfId="5867" xr:uid="{00000000-0005-0000-0000-00000B2F0000}"/>
    <cellStyle name="40% - Accent1 6 2 2 4 2" xfId="13851" xr:uid="{00000000-0005-0000-0000-00000C2F0000}"/>
    <cellStyle name="40% - Accent1 6 2 2 4 3" xfId="21799" xr:uid="{00000000-0005-0000-0000-00000D2F0000}"/>
    <cellStyle name="40% - Accent1 6 2 2 5" xfId="9420" xr:uid="{00000000-0005-0000-0000-00000E2F0000}"/>
    <cellStyle name="40% - Accent1 6 2 2 5 2" xfId="17378" xr:uid="{00000000-0005-0000-0000-00000F2F0000}"/>
    <cellStyle name="40% - Accent1 6 2 2 5 3" xfId="25322" xr:uid="{00000000-0005-0000-0000-0000102F0000}"/>
    <cellStyle name="40% - Accent1 6 2 2 6" xfId="10316" xr:uid="{00000000-0005-0000-0000-0000112F0000}"/>
    <cellStyle name="40% - Accent1 6 2 2 7" xfId="18271" xr:uid="{00000000-0005-0000-0000-0000122F0000}"/>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3" xfId="24433" xr:uid="{00000000-0005-0000-0000-0000182F0000}"/>
    <cellStyle name="40% - Accent1 6 2 3 2 3" xfId="12949" xr:uid="{00000000-0005-0000-0000-0000192F0000}"/>
    <cellStyle name="40% - Accent1 6 2 3 2 4" xfId="20904" xr:uid="{00000000-0005-0000-0000-00001A2F0000}"/>
    <cellStyle name="40% - Accent1 6 2 3 3" xfId="6757" xr:uid="{00000000-0005-0000-0000-00001B2F0000}"/>
    <cellStyle name="40% - Accent1 6 2 3 3 2" xfId="14729" xr:uid="{00000000-0005-0000-0000-00001C2F0000}"/>
    <cellStyle name="40% - Accent1 6 2 3 3 3" xfId="22676" xr:uid="{00000000-0005-0000-0000-00001D2F0000}"/>
    <cellStyle name="40% - Accent1 6 2 3 4" xfId="11193" xr:uid="{00000000-0005-0000-0000-00001E2F0000}"/>
    <cellStyle name="40% - Accent1 6 2 3 5" xfId="19148" xr:uid="{00000000-0005-0000-0000-00001F2F0000}"/>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3" xfId="23555" xr:uid="{00000000-0005-0000-0000-0000242F0000}"/>
    <cellStyle name="40% - Accent1 6 2 4 3" xfId="12071" xr:uid="{00000000-0005-0000-0000-0000252F0000}"/>
    <cellStyle name="40% - Accent1 6 2 4 4" xfId="20026" xr:uid="{00000000-0005-0000-0000-0000262F0000}"/>
    <cellStyle name="40% - Accent1 6 2 5" xfId="5866" xr:uid="{00000000-0005-0000-0000-0000272F0000}"/>
    <cellStyle name="40% - Accent1 6 2 5 2" xfId="13850" xr:uid="{00000000-0005-0000-0000-0000282F0000}"/>
    <cellStyle name="40% - Accent1 6 2 5 3" xfId="21798" xr:uid="{00000000-0005-0000-0000-0000292F0000}"/>
    <cellStyle name="40% - Accent1 6 2 6" xfId="9419" xr:uid="{00000000-0005-0000-0000-00002A2F0000}"/>
    <cellStyle name="40% - Accent1 6 2 6 2" xfId="17377" xr:uid="{00000000-0005-0000-0000-00002B2F0000}"/>
    <cellStyle name="40% - Accent1 6 2 6 3" xfId="25321" xr:uid="{00000000-0005-0000-0000-00002C2F0000}"/>
    <cellStyle name="40% - Accent1 6 2 7" xfId="10315" xr:uid="{00000000-0005-0000-0000-00002D2F0000}"/>
    <cellStyle name="40% - Accent1 6 2 8" xfId="18270" xr:uid="{00000000-0005-0000-0000-00002E2F0000}"/>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3" xfId="24435" xr:uid="{00000000-0005-0000-0000-0000352F0000}"/>
    <cellStyle name="40% - Accent1 6 3 2 2 3" xfId="12951" xr:uid="{00000000-0005-0000-0000-0000362F0000}"/>
    <cellStyle name="40% - Accent1 6 3 2 2 4" xfId="20906" xr:uid="{00000000-0005-0000-0000-0000372F0000}"/>
    <cellStyle name="40% - Accent1 6 3 2 3" xfId="6759" xr:uid="{00000000-0005-0000-0000-0000382F0000}"/>
    <cellStyle name="40% - Accent1 6 3 2 3 2" xfId="14731" xr:uid="{00000000-0005-0000-0000-0000392F0000}"/>
    <cellStyle name="40% - Accent1 6 3 2 3 3" xfId="22678" xr:uid="{00000000-0005-0000-0000-00003A2F0000}"/>
    <cellStyle name="40% - Accent1 6 3 2 4" xfId="11195" xr:uid="{00000000-0005-0000-0000-00003B2F0000}"/>
    <cellStyle name="40% - Accent1 6 3 2 5" xfId="19150" xr:uid="{00000000-0005-0000-0000-00003C2F0000}"/>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3" xfId="23557" xr:uid="{00000000-0005-0000-0000-0000412F0000}"/>
    <cellStyle name="40% - Accent1 6 3 3 3" xfId="12073" xr:uid="{00000000-0005-0000-0000-0000422F0000}"/>
    <cellStyle name="40% - Accent1 6 3 3 4" xfId="20028" xr:uid="{00000000-0005-0000-0000-0000432F0000}"/>
    <cellStyle name="40% - Accent1 6 3 4" xfId="5868" xr:uid="{00000000-0005-0000-0000-0000442F0000}"/>
    <cellStyle name="40% - Accent1 6 3 4 2" xfId="13852" xr:uid="{00000000-0005-0000-0000-0000452F0000}"/>
    <cellStyle name="40% - Accent1 6 3 4 3" xfId="21800" xr:uid="{00000000-0005-0000-0000-0000462F0000}"/>
    <cellStyle name="40% - Accent1 6 3 5" xfId="9421" xr:uid="{00000000-0005-0000-0000-0000472F0000}"/>
    <cellStyle name="40% - Accent1 6 3 5 2" xfId="17379" xr:uid="{00000000-0005-0000-0000-0000482F0000}"/>
    <cellStyle name="40% - Accent1 6 3 5 3" xfId="25323" xr:uid="{00000000-0005-0000-0000-0000492F0000}"/>
    <cellStyle name="40% - Accent1 6 3 6" xfId="10317" xr:uid="{00000000-0005-0000-0000-00004A2F0000}"/>
    <cellStyle name="40% - Accent1 6 3 7" xfId="18272" xr:uid="{00000000-0005-0000-0000-00004B2F0000}"/>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3" xfId="24891" xr:uid="{00000000-0005-0000-0000-0000522F0000}"/>
    <cellStyle name="40% - Accent1 6 4 2 2 3" xfId="13407" xr:uid="{00000000-0005-0000-0000-0000532F0000}"/>
    <cellStyle name="40% - Accent1 6 4 2 2 4" xfId="21362" xr:uid="{00000000-0005-0000-0000-0000542F0000}"/>
    <cellStyle name="40% - Accent1 6 4 2 3" xfId="7215" xr:uid="{00000000-0005-0000-0000-0000552F0000}"/>
    <cellStyle name="40% - Accent1 6 4 2 3 2" xfId="15187" xr:uid="{00000000-0005-0000-0000-0000562F0000}"/>
    <cellStyle name="40% - Accent1 6 4 2 3 3" xfId="23134" xr:uid="{00000000-0005-0000-0000-0000572F0000}"/>
    <cellStyle name="40% - Accent1 6 4 2 4" xfId="11651" xr:uid="{00000000-0005-0000-0000-0000582F0000}"/>
    <cellStyle name="40% - Accent1 6 4 2 5" xfId="19606" xr:uid="{00000000-0005-0000-0000-0000592F0000}"/>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3" xfId="24013" xr:uid="{00000000-0005-0000-0000-00005E2F0000}"/>
    <cellStyle name="40% - Accent1 6 4 3 3" xfId="12529" xr:uid="{00000000-0005-0000-0000-00005F2F0000}"/>
    <cellStyle name="40% - Accent1 6 4 3 4" xfId="20484" xr:uid="{00000000-0005-0000-0000-0000602F0000}"/>
    <cellStyle name="40% - Accent1 6 4 4" xfId="6334" xr:uid="{00000000-0005-0000-0000-0000612F0000}"/>
    <cellStyle name="40% - Accent1 6 4 4 2" xfId="14309" xr:uid="{00000000-0005-0000-0000-0000622F0000}"/>
    <cellStyle name="40% - Accent1 6 4 4 3" xfId="22256" xr:uid="{00000000-0005-0000-0000-0000632F0000}"/>
    <cellStyle name="40% - Accent1 6 4 5" xfId="9877" xr:uid="{00000000-0005-0000-0000-0000642F0000}"/>
    <cellStyle name="40% - Accent1 6 4 5 2" xfId="17835" xr:uid="{00000000-0005-0000-0000-0000652F0000}"/>
    <cellStyle name="40% - Accent1 6 4 5 3" xfId="25779" xr:uid="{00000000-0005-0000-0000-0000662F0000}"/>
    <cellStyle name="40% - Accent1 6 4 6" xfId="10773" xr:uid="{00000000-0005-0000-0000-0000672F0000}"/>
    <cellStyle name="40% - Accent1 6 4 7" xfId="18728" xr:uid="{00000000-0005-0000-0000-0000682F0000}"/>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3" xfId="24432" xr:uid="{00000000-0005-0000-0000-00006E2F0000}"/>
    <cellStyle name="40% - Accent1 6 5 2 3" xfId="12948" xr:uid="{00000000-0005-0000-0000-00006F2F0000}"/>
    <cellStyle name="40% - Accent1 6 5 2 4" xfId="20903" xr:uid="{00000000-0005-0000-0000-0000702F0000}"/>
    <cellStyle name="40% - Accent1 6 5 3" xfId="6756" xr:uid="{00000000-0005-0000-0000-0000712F0000}"/>
    <cellStyle name="40% - Accent1 6 5 3 2" xfId="14728" xr:uid="{00000000-0005-0000-0000-0000722F0000}"/>
    <cellStyle name="40% - Accent1 6 5 3 3" xfId="22675" xr:uid="{00000000-0005-0000-0000-0000732F0000}"/>
    <cellStyle name="40% - Accent1 6 5 4" xfId="11192" xr:uid="{00000000-0005-0000-0000-0000742F0000}"/>
    <cellStyle name="40% - Accent1 6 5 5" xfId="19147" xr:uid="{00000000-0005-0000-0000-0000752F0000}"/>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3" xfId="23554" xr:uid="{00000000-0005-0000-0000-00007A2F0000}"/>
    <cellStyle name="40% - Accent1 6 6 3" xfId="12070" xr:uid="{00000000-0005-0000-0000-00007B2F0000}"/>
    <cellStyle name="40% - Accent1 6 6 4" xfId="20025" xr:uid="{00000000-0005-0000-0000-00007C2F0000}"/>
    <cellStyle name="40% - Accent1 6 7" xfId="5865" xr:uid="{00000000-0005-0000-0000-00007D2F0000}"/>
    <cellStyle name="40% - Accent1 6 7 2" xfId="13849" xr:uid="{00000000-0005-0000-0000-00007E2F0000}"/>
    <cellStyle name="40% - Accent1 6 7 3" xfId="21797" xr:uid="{00000000-0005-0000-0000-00007F2F0000}"/>
    <cellStyle name="40% - Accent1 6 8" xfId="9418" xr:uid="{00000000-0005-0000-0000-0000802F0000}"/>
    <cellStyle name="40% - Accent1 6 8 2" xfId="17376" xr:uid="{00000000-0005-0000-0000-0000812F0000}"/>
    <cellStyle name="40% - Accent1 6 8 3" xfId="25320" xr:uid="{00000000-0005-0000-0000-0000822F0000}"/>
    <cellStyle name="40% - Accent1 6 9" xfId="10314" xr:uid="{00000000-0005-0000-0000-0000832F0000}"/>
    <cellStyle name="40% - Accent1 6_Exh G" xfId="2769" xr:uid="{00000000-0005-0000-0000-0000842F0000}"/>
    <cellStyle name="40% - Accent1 7" xfId="370" xr:uid="{00000000-0005-0000-0000-0000852F0000}"/>
    <cellStyle name="40% - Accent1 7 10" xfId="18273" xr:uid="{00000000-0005-0000-0000-0000862F0000}"/>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3" xfId="24438" xr:uid="{00000000-0005-0000-0000-00008D2F0000}"/>
    <cellStyle name="40% - Accent1 7 2 2 2 2 3" xfId="12954" xr:uid="{00000000-0005-0000-0000-00008E2F0000}"/>
    <cellStyle name="40% - Accent1 7 2 2 2 2 4" xfId="20909" xr:uid="{00000000-0005-0000-0000-00008F2F0000}"/>
    <cellStyle name="40% - Accent1 7 2 2 2 3" xfId="6762" xr:uid="{00000000-0005-0000-0000-0000902F0000}"/>
    <cellStyle name="40% - Accent1 7 2 2 2 3 2" xfId="14734" xr:uid="{00000000-0005-0000-0000-0000912F0000}"/>
    <cellStyle name="40% - Accent1 7 2 2 2 3 3" xfId="22681" xr:uid="{00000000-0005-0000-0000-0000922F0000}"/>
    <cellStyle name="40% - Accent1 7 2 2 2 4" xfId="11198" xr:uid="{00000000-0005-0000-0000-0000932F0000}"/>
    <cellStyle name="40% - Accent1 7 2 2 2 5" xfId="19153" xr:uid="{00000000-0005-0000-0000-0000942F000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3" xfId="23560" xr:uid="{00000000-0005-0000-0000-0000992F0000}"/>
    <cellStyle name="40% - Accent1 7 2 2 3 3" xfId="12076" xr:uid="{00000000-0005-0000-0000-00009A2F0000}"/>
    <cellStyle name="40% - Accent1 7 2 2 3 4" xfId="20031" xr:uid="{00000000-0005-0000-0000-00009B2F0000}"/>
    <cellStyle name="40% - Accent1 7 2 2 4" xfId="5871" xr:uid="{00000000-0005-0000-0000-00009C2F0000}"/>
    <cellStyle name="40% - Accent1 7 2 2 4 2" xfId="13855" xr:uid="{00000000-0005-0000-0000-00009D2F0000}"/>
    <cellStyle name="40% - Accent1 7 2 2 4 3" xfId="21803" xr:uid="{00000000-0005-0000-0000-00009E2F0000}"/>
    <cellStyle name="40% - Accent1 7 2 2 5" xfId="9424" xr:uid="{00000000-0005-0000-0000-00009F2F0000}"/>
    <cellStyle name="40% - Accent1 7 2 2 5 2" xfId="17382" xr:uid="{00000000-0005-0000-0000-0000A02F0000}"/>
    <cellStyle name="40% - Accent1 7 2 2 5 3" xfId="25326" xr:uid="{00000000-0005-0000-0000-0000A12F0000}"/>
    <cellStyle name="40% - Accent1 7 2 2 6" xfId="10320" xr:uid="{00000000-0005-0000-0000-0000A22F0000}"/>
    <cellStyle name="40% - Accent1 7 2 2 7" xfId="18275" xr:uid="{00000000-0005-0000-0000-0000A32F0000}"/>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3" xfId="24437" xr:uid="{00000000-0005-0000-0000-0000A92F0000}"/>
    <cellStyle name="40% - Accent1 7 2 3 2 3" xfId="12953" xr:uid="{00000000-0005-0000-0000-0000AA2F0000}"/>
    <cellStyle name="40% - Accent1 7 2 3 2 4" xfId="20908" xr:uid="{00000000-0005-0000-0000-0000AB2F0000}"/>
    <cellStyle name="40% - Accent1 7 2 3 3" xfId="6761" xr:uid="{00000000-0005-0000-0000-0000AC2F0000}"/>
    <cellStyle name="40% - Accent1 7 2 3 3 2" xfId="14733" xr:uid="{00000000-0005-0000-0000-0000AD2F0000}"/>
    <cellStyle name="40% - Accent1 7 2 3 3 3" xfId="22680" xr:uid="{00000000-0005-0000-0000-0000AE2F0000}"/>
    <cellStyle name="40% - Accent1 7 2 3 4" xfId="11197" xr:uid="{00000000-0005-0000-0000-0000AF2F0000}"/>
    <cellStyle name="40% - Accent1 7 2 3 5" xfId="19152" xr:uid="{00000000-0005-0000-0000-0000B02F0000}"/>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3" xfId="23559" xr:uid="{00000000-0005-0000-0000-0000B52F0000}"/>
    <cellStyle name="40% - Accent1 7 2 4 3" xfId="12075" xr:uid="{00000000-0005-0000-0000-0000B62F0000}"/>
    <cellStyle name="40% - Accent1 7 2 4 4" xfId="20030" xr:uid="{00000000-0005-0000-0000-0000B72F0000}"/>
    <cellStyle name="40% - Accent1 7 2 5" xfId="5870" xr:uid="{00000000-0005-0000-0000-0000B82F0000}"/>
    <cellStyle name="40% - Accent1 7 2 5 2" xfId="13854" xr:uid="{00000000-0005-0000-0000-0000B92F0000}"/>
    <cellStyle name="40% - Accent1 7 2 5 3" xfId="21802" xr:uid="{00000000-0005-0000-0000-0000BA2F0000}"/>
    <cellStyle name="40% - Accent1 7 2 6" xfId="9423" xr:uid="{00000000-0005-0000-0000-0000BB2F0000}"/>
    <cellStyle name="40% - Accent1 7 2 6 2" xfId="17381" xr:uid="{00000000-0005-0000-0000-0000BC2F0000}"/>
    <cellStyle name="40% - Accent1 7 2 6 3" xfId="25325" xr:uid="{00000000-0005-0000-0000-0000BD2F0000}"/>
    <cellStyle name="40% - Accent1 7 2 7" xfId="10319" xr:uid="{00000000-0005-0000-0000-0000BE2F0000}"/>
    <cellStyle name="40% - Accent1 7 2 8" xfId="18274" xr:uid="{00000000-0005-0000-0000-0000BF2F0000}"/>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3" xfId="24439" xr:uid="{00000000-0005-0000-0000-0000C62F0000}"/>
    <cellStyle name="40% - Accent1 7 3 2 2 3" xfId="12955" xr:uid="{00000000-0005-0000-0000-0000C72F0000}"/>
    <cellStyle name="40% - Accent1 7 3 2 2 4" xfId="20910" xr:uid="{00000000-0005-0000-0000-0000C82F0000}"/>
    <cellStyle name="40% - Accent1 7 3 2 3" xfId="6763" xr:uid="{00000000-0005-0000-0000-0000C92F0000}"/>
    <cellStyle name="40% - Accent1 7 3 2 3 2" xfId="14735" xr:uid="{00000000-0005-0000-0000-0000CA2F0000}"/>
    <cellStyle name="40% - Accent1 7 3 2 3 3" xfId="22682" xr:uid="{00000000-0005-0000-0000-0000CB2F0000}"/>
    <cellStyle name="40% - Accent1 7 3 2 4" xfId="11199" xr:uid="{00000000-0005-0000-0000-0000CC2F0000}"/>
    <cellStyle name="40% - Accent1 7 3 2 5" xfId="19154" xr:uid="{00000000-0005-0000-0000-0000CD2F0000}"/>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3" xfId="23561" xr:uid="{00000000-0005-0000-0000-0000D22F0000}"/>
    <cellStyle name="40% - Accent1 7 3 3 3" xfId="12077" xr:uid="{00000000-0005-0000-0000-0000D32F0000}"/>
    <cellStyle name="40% - Accent1 7 3 3 4" xfId="20032" xr:uid="{00000000-0005-0000-0000-0000D42F0000}"/>
    <cellStyle name="40% - Accent1 7 3 4" xfId="5872" xr:uid="{00000000-0005-0000-0000-0000D52F0000}"/>
    <cellStyle name="40% - Accent1 7 3 4 2" xfId="13856" xr:uid="{00000000-0005-0000-0000-0000D62F0000}"/>
    <cellStyle name="40% - Accent1 7 3 4 3" xfId="21804" xr:uid="{00000000-0005-0000-0000-0000D72F0000}"/>
    <cellStyle name="40% - Accent1 7 3 5" xfId="9425" xr:uid="{00000000-0005-0000-0000-0000D82F0000}"/>
    <cellStyle name="40% - Accent1 7 3 5 2" xfId="17383" xr:uid="{00000000-0005-0000-0000-0000D92F0000}"/>
    <cellStyle name="40% - Accent1 7 3 5 3" xfId="25327" xr:uid="{00000000-0005-0000-0000-0000DA2F0000}"/>
    <cellStyle name="40% - Accent1 7 3 6" xfId="10321" xr:uid="{00000000-0005-0000-0000-0000DB2F0000}"/>
    <cellStyle name="40% - Accent1 7 3 7" xfId="18276" xr:uid="{00000000-0005-0000-0000-0000DC2F0000}"/>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3" xfId="24892" xr:uid="{00000000-0005-0000-0000-0000E32F0000}"/>
    <cellStyle name="40% - Accent1 7 4 2 2 3" xfId="13408" xr:uid="{00000000-0005-0000-0000-0000E42F0000}"/>
    <cellStyle name="40% - Accent1 7 4 2 2 4" xfId="21363" xr:uid="{00000000-0005-0000-0000-0000E52F0000}"/>
    <cellStyle name="40% - Accent1 7 4 2 3" xfId="7216" xr:uid="{00000000-0005-0000-0000-0000E62F0000}"/>
    <cellStyle name="40% - Accent1 7 4 2 3 2" xfId="15188" xr:uid="{00000000-0005-0000-0000-0000E72F0000}"/>
    <cellStyle name="40% - Accent1 7 4 2 3 3" xfId="23135" xr:uid="{00000000-0005-0000-0000-0000E82F0000}"/>
    <cellStyle name="40% - Accent1 7 4 2 4" xfId="11652" xr:uid="{00000000-0005-0000-0000-0000E92F0000}"/>
    <cellStyle name="40% - Accent1 7 4 2 5" xfId="19607" xr:uid="{00000000-0005-0000-0000-0000EA2F0000}"/>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3" xfId="24014" xr:uid="{00000000-0005-0000-0000-0000EF2F0000}"/>
    <cellStyle name="40% - Accent1 7 4 3 3" xfId="12530" xr:uid="{00000000-0005-0000-0000-0000F02F0000}"/>
    <cellStyle name="40% - Accent1 7 4 3 4" xfId="20485" xr:uid="{00000000-0005-0000-0000-0000F12F0000}"/>
    <cellStyle name="40% - Accent1 7 4 4" xfId="6335" xr:uid="{00000000-0005-0000-0000-0000F22F0000}"/>
    <cellStyle name="40% - Accent1 7 4 4 2" xfId="14310" xr:uid="{00000000-0005-0000-0000-0000F32F0000}"/>
    <cellStyle name="40% - Accent1 7 4 4 3" xfId="22257" xr:uid="{00000000-0005-0000-0000-0000F42F0000}"/>
    <cellStyle name="40% - Accent1 7 4 5" xfId="9878" xr:uid="{00000000-0005-0000-0000-0000F52F0000}"/>
    <cellStyle name="40% - Accent1 7 4 5 2" xfId="17836" xr:uid="{00000000-0005-0000-0000-0000F62F0000}"/>
    <cellStyle name="40% - Accent1 7 4 5 3" xfId="25780" xr:uid="{00000000-0005-0000-0000-0000F72F0000}"/>
    <cellStyle name="40% - Accent1 7 4 6" xfId="10774" xr:uid="{00000000-0005-0000-0000-0000F82F0000}"/>
    <cellStyle name="40% - Accent1 7 4 7" xfId="18729" xr:uid="{00000000-0005-0000-0000-0000F92F0000}"/>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3" xfId="24436" xr:uid="{00000000-0005-0000-0000-0000FF2F0000}"/>
    <cellStyle name="40% - Accent1 7 5 2 3" xfId="12952" xr:uid="{00000000-0005-0000-0000-000000300000}"/>
    <cellStyle name="40% - Accent1 7 5 2 4" xfId="20907" xr:uid="{00000000-0005-0000-0000-000001300000}"/>
    <cellStyle name="40% - Accent1 7 5 3" xfId="6760" xr:uid="{00000000-0005-0000-0000-000002300000}"/>
    <cellStyle name="40% - Accent1 7 5 3 2" xfId="14732" xr:uid="{00000000-0005-0000-0000-000003300000}"/>
    <cellStyle name="40% - Accent1 7 5 3 3" xfId="22679" xr:uid="{00000000-0005-0000-0000-000004300000}"/>
    <cellStyle name="40% - Accent1 7 5 4" xfId="11196" xr:uid="{00000000-0005-0000-0000-000005300000}"/>
    <cellStyle name="40% - Accent1 7 5 5" xfId="19151" xr:uid="{00000000-0005-0000-0000-000006300000}"/>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3" xfId="23558" xr:uid="{00000000-0005-0000-0000-00000B300000}"/>
    <cellStyle name="40% - Accent1 7 6 3" xfId="12074" xr:uid="{00000000-0005-0000-0000-00000C300000}"/>
    <cellStyle name="40% - Accent1 7 6 4" xfId="20029" xr:uid="{00000000-0005-0000-0000-00000D300000}"/>
    <cellStyle name="40% - Accent1 7 7" xfId="5869" xr:uid="{00000000-0005-0000-0000-00000E300000}"/>
    <cellStyle name="40% - Accent1 7 7 2" xfId="13853" xr:uid="{00000000-0005-0000-0000-00000F300000}"/>
    <cellStyle name="40% - Accent1 7 7 3" xfId="21801" xr:uid="{00000000-0005-0000-0000-000010300000}"/>
    <cellStyle name="40% - Accent1 7 8" xfId="9422" xr:uid="{00000000-0005-0000-0000-000011300000}"/>
    <cellStyle name="40% - Accent1 7 8 2" xfId="17380" xr:uid="{00000000-0005-0000-0000-000012300000}"/>
    <cellStyle name="40% - Accent1 7 8 3" xfId="25324" xr:uid="{00000000-0005-0000-0000-000013300000}"/>
    <cellStyle name="40% - Accent1 7 9" xfId="10318" xr:uid="{00000000-0005-0000-0000-000014300000}"/>
    <cellStyle name="40% - Accent1 7_Exh G" xfId="2779" xr:uid="{00000000-0005-0000-0000-000015300000}"/>
    <cellStyle name="40% - Accent1 8" xfId="374" xr:uid="{00000000-0005-0000-0000-000016300000}"/>
    <cellStyle name="40% - Accent1 8 10" xfId="18277" xr:uid="{00000000-0005-0000-0000-000017300000}"/>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3" xfId="24442" xr:uid="{00000000-0005-0000-0000-00001E300000}"/>
    <cellStyle name="40% - Accent1 8 2 2 2 2 3" xfId="12958" xr:uid="{00000000-0005-0000-0000-00001F300000}"/>
    <cellStyle name="40% - Accent1 8 2 2 2 2 4" xfId="20913" xr:uid="{00000000-0005-0000-0000-000020300000}"/>
    <cellStyle name="40% - Accent1 8 2 2 2 3" xfId="6766" xr:uid="{00000000-0005-0000-0000-000021300000}"/>
    <cellStyle name="40% - Accent1 8 2 2 2 3 2" xfId="14738" xr:uid="{00000000-0005-0000-0000-000022300000}"/>
    <cellStyle name="40% - Accent1 8 2 2 2 3 3" xfId="22685" xr:uid="{00000000-0005-0000-0000-000023300000}"/>
    <cellStyle name="40% - Accent1 8 2 2 2 4" xfId="11202" xr:uid="{00000000-0005-0000-0000-000024300000}"/>
    <cellStyle name="40% - Accent1 8 2 2 2 5" xfId="19157" xr:uid="{00000000-0005-0000-0000-000025300000}"/>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3" xfId="23564" xr:uid="{00000000-0005-0000-0000-00002A300000}"/>
    <cellStyle name="40% - Accent1 8 2 2 3 3" xfId="12080" xr:uid="{00000000-0005-0000-0000-00002B300000}"/>
    <cellStyle name="40% - Accent1 8 2 2 3 4" xfId="20035" xr:uid="{00000000-0005-0000-0000-00002C300000}"/>
    <cellStyle name="40% - Accent1 8 2 2 4" xfId="5875" xr:uid="{00000000-0005-0000-0000-00002D300000}"/>
    <cellStyle name="40% - Accent1 8 2 2 4 2" xfId="13859" xr:uid="{00000000-0005-0000-0000-00002E300000}"/>
    <cellStyle name="40% - Accent1 8 2 2 4 3" xfId="21807" xr:uid="{00000000-0005-0000-0000-00002F300000}"/>
    <cellStyle name="40% - Accent1 8 2 2 5" xfId="9428" xr:uid="{00000000-0005-0000-0000-000030300000}"/>
    <cellStyle name="40% - Accent1 8 2 2 5 2" xfId="17386" xr:uid="{00000000-0005-0000-0000-000031300000}"/>
    <cellStyle name="40% - Accent1 8 2 2 5 3" xfId="25330" xr:uid="{00000000-0005-0000-0000-000032300000}"/>
    <cellStyle name="40% - Accent1 8 2 2 6" xfId="10324" xr:uid="{00000000-0005-0000-0000-000033300000}"/>
    <cellStyle name="40% - Accent1 8 2 2 7" xfId="18279" xr:uid="{00000000-0005-0000-0000-000034300000}"/>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3" xfId="24441" xr:uid="{00000000-0005-0000-0000-00003A300000}"/>
    <cellStyle name="40% - Accent1 8 2 3 2 3" xfId="12957" xr:uid="{00000000-0005-0000-0000-00003B300000}"/>
    <cellStyle name="40% - Accent1 8 2 3 2 4" xfId="20912" xr:uid="{00000000-0005-0000-0000-00003C300000}"/>
    <cellStyle name="40% - Accent1 8 2 3 3" xfId="6765" xr:uid="{00000000-0005-0000-0000-00003D300000}"/>
    <cellStyle name="40% - Accent1 8 2 3 3 2" xfId="14737" xr:uid="{00000000-0005-0000-0000-00003E300000}"/>
    <cellStyle name="40% - Accent1 8 2 3 3 3" xfId="22684" xr:uid="{00000000-0005-0000-0000-00003F300000}"/>
    <cellStyle name="40% - Accent1 8 2 3 4" xfId="11201" xr:uid="{00000000-0005-0000-0000-000040300000}"/>
    <cellStyle name="40% - Accent1 8 2 3 5" xfId="19156" xr:uid="{00000000-0005-0000-0000-000041300000}"/>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3" xfId="23563" xr:uid="{00000000-0005-0000-0000-000046300000}"/>
    <cellStyle name="40% - Accent1 8 2 4 3" xfId="12079" xr:uid="{00000000-0005-0000-0000-000047300000}"/>
    <cellStyle name="40% - Accent1 8 2 4 4" xfId="20034" xr:uid="{00000000-0005-0000-0000-000048300000}"/>
    <cellStyle name="40% - Accent1 8 2 5" xfId="5874" xr:uid="{00000000-0005-0000-0000-000049300000}"/>
    <cellStyle name="40% - Accent1 8 2 5 2" xfId="13858" xr:uid="{00000000-0005-0000-0000-00004A300000}"/>
    <cellStyle name="40% - Accent1 8 2 5 3" xfId="21806" xr:uid="{00000000-0005-0000-0000-00004B300000}"/>
    <cellStyle name="40% - Accent1 8 2 6" xfId="9427" xr:uid="{00000000-0005-0000-0000-00004C300000}"/>
    <cellStyle name="40% - Accent1 8 2 6 2" xfId="17385" xr:uid="{00000000-0005-0000-0000-00004D300000}"/>
    <cellStyle name="40% - Accent1 8 2 6 3" xfId="25329" xr:uid="{00000000-0005-0000-0000-00004E300000}"/>
    <cellStyle name="40% - Accent1 8 2 7" xfId="10323" xr:uid="{00000000-0005-0000-0000-00004F300000}"/>
    <cellStyle name="40% - Accent1 8 2 8" xfId="18278" xr:uid="{00000000-0005-0000-0000-000050300000}"/>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3" xfId="24443" xr:uid="{00000000-0005-0000-0000-000057300000}"/>
    <cellStyle name="40% - Accent1 8 3 2 2 3" xfId="12959" xr:uid="{00000000-0005-0000-0000-000058300000}"/>
    <cellStyle name="40% - Accent1 8 3 2 2 4" xfId="20914" xr:uid="{00000000-0005-0000-0000-000059300000}"/>
    <cellStyle name="40% - Accent1 8 3 2 3" xfId="6767" xr:uid="{00000000-0005-0000-0000-00005A300000}"/>
    <cellStyle name="40% - Accent1 8 3 2 3 2" xfId="14739" xr:uid="{00000000-0005-0000-0000-00005B300000}"/>
    <cellStyle name="40% - Accent1 8 3 2 3 3" xfId="22686" xr:uid="{00000000-0005-0000-0000-00005C300000}"/>
    <cellStyle name="40% - Accent1 8 3 2 4" xfId="11203" xr:uid="{00000000-0005-0000-0000-00005D300000}"/>
    <cellStyle name="40% - Accent1 8 3 2 5" xfId="19158" xr:uid="{00000000-0005-0000-0000-00005E300000}"/>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3" xfId="23565" xr:uid="{00000000-0005-0000-0000-000063300000}"/>
    <cellStyle name="40% - Accent1 8 3 3 3" xfId="12081" xr:uid="{00000000-0005-0000-0000-000064300000}"/>
    <cellStyle name="40% - Accent1 8 3 3 4" xfId="20036" xr:uid="{00000000-0005-0000-0000-000065300000}"/>
    <cellStyle name="40% - Accent1 8 3 4" xfId="5876" xr:uid="{00000000-0005-0000-0000-000066300000}"/>
    <cellStyle name="40% - Accent1 8 3 4 2" xfId="13860" xr:uid="{00000000-0005-0000-0000-000067300000}"/>
    <cellStyle name="40% - Accent1 8 3 4 3" xfId="21808" xr:uid="{00000000-0005-0000-0000-000068300000}"/>
    <cellStyle name="40% - Accent1 8 3 5" xfId="9429" xr:uid="{00000000-0005-0000-0000-000069300000}"/>
    <cellStyle name="40% - Accent1 8 3 5 2" xfId="17387" xr:uid="{00000000-0005-0000-0000-00006A300000}"/>
    <cellStyle name="40% - Accent1 8 3 5 3" xfId="25331" xr:uid="{00000000-0005-0000-0000-00006B300000}"/>
    <cellStyle name="40% - Accent1 8 3 6" xfId="10325" xr:uid="{00000000-0005-0000-0000-00006C300000}"/>
    <cellStyle name="40% - Accent1 8 3 7" xfId="18280" xr:uid="{00000000-0005-0000-0000-00006D300000}"/>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3" xfId="24893" xr:uid="{00000000-0005-0000-0000-000074300000}"/>
    <cellStyle name="40% - Accent1 8 4 2 2 3" xfId="13409" xr:uid="{00000000-0005-0000-0000-000075300000}"/>
    <cellStyle name="40% - Accent1 8 4 2 2 4" xfId="21364" xr:uid="{00000000-0005-0000-0000-000076300000}"/>
    <cellStyle name="40% - Accent1 8 4 2 3" xfId="7217" xr:uid="{00000000-0005-0000-0000-000077300000}"/>
    <cellStyle name="40% - Accent1 8 4 2 3 2" xfId="15189" xr:uid="{00000000-0005-0000-0000-000078300000}"/>
    <cellStyle name="40% - Accent1 8 4 2 3 3" xfId="23136" xr:uid="{00000000-0005-0000-0000-000079300000}"/>
    <cellStyle name="40% - Accent1 8 4 2 4" xfId="11653" xr:uid="{00000000-0005-0000-0000-00007A300000}"/>
    <cellStyle name="40% - Accent1 8 4 2 5" xfId="19608" xr:uid="{00000000-0005-0000-0000-00007B300000}"/>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3" xfId="24015" xr:uid="{00000000-0005-0000-0000-000080300000}"/>
    <cellStyle name="40% - Accent1 8 4 3 3" xfId="12531" xr:uid="{00000000-0005-0000-0000-000081300000}"/>
    <cellStyle name="40% - Accent1 8 4 3 4" xfId="20486" xr:uid="{00000000-0005-0000-0000-000082300000}"/>
    <cellStyle name="40% - Accent1 8 4 4" xfId="6336" xr:uid="{00000000-0005-0000-0000-000083300000}"/>
    <cellStyle name="40% - Accent1 8 4 4 2" xfId="14311" xr:uid="{00000000-0005-0000-0000-000084300000}"/>
    <cellStyle name="40% - Accent1 8 4 4 3" xfId="22258" xr:uid="{00000000-0005-0000-0000-000085300000}"/>
    <cellStyle name="40% - Accent1 8 4 5" xfId="9879" xr:uid="{00000000-0005-0000-0000-000086300000}"/>
    <cellStyle name="40% - Accent1 8 4 5 2" xfId="17837" xr:uid="{00000000-0005-0000-0000-000087300000}"/>
    <cellStyle name="40% - Accent1 8 4 5 3" xfId="25781" xr:uid="{00000000-0005-0000-0000-000088300000}"/>
    <cellStyle name="40% - Accent1 8 4 6" xfId="10775" xr:uid="{00000000-0005-0000-0000-000089300000}"/>
    <cellStyle name="40% - Accent1 8 4 7" xfId="18730" xr:uid="{00000000-0005-0000-0000-00008A300000}"/>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3" xfId="24440" xr:uid="{00000000-0005-0000-0000-000090300000}"/>
    <cellStyle name="40% - Accent1 8 5 2 3" xfId="12956" xr:uid="{00000000-0005-0000-0000-000091300000}"/>
    <cellStyle name="40% - Accent1 8 5 2 4" xfId="20911" xr:uid="{00000000-0005-0000-0000-000092300000}"/>
    <cellStyle name="40% - Accent1 8 5 3" xfId="6764" xr:uid="{00000000-0005-0000-0000-000093300000}"/>
    <cellStyle name="40% - Accent1 8 5 3 2" xfId="14736" xr:uid="{00000000-0005-0000-0000-000094300000}"/>
    <cellStyle name="40% - Accent1 8 5 3 3" xfId="22683" xr:uid="{00000000-0005-0000-0000-000095300000}"/>
    <cellStyle name="40% - Accent1 8 5 4" xfId="11200" xr:uid="{00000000-0005-0000-0000-000096300000}"/>
    <cellStyle name="40% - Accent1 8 5 5" xfId="19155" xr:uid="{00000000-0005-0000-0000-000097300000}"/>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3" xfId="23562" xr:uid="{00000000-0005-0000-0000-00009C300000}"/>
    <cellStyle name="40% - Accent1 8 6 3" xfId="12078" xr:uid="{00000000-0005-0000-0000-00009D300000}"/>
    <cellStyle name="40% - Accent1 8 6 4" xfId="20033" xr:uid="{00000000-0005-0000-0000-00009E300000}"/>
    <cellStyle name="40% - Accent1 8 7" xfId="5873" xr:uid="{00000000-0005-0000-0000-00009F300000}"/>
    <cellStyle name="40% - Accent1 8 7 2" xfId="13857" xr:uid="{00000000-0005-0000-0000-0000A0300000}"/>
    <cellStyle name="40% - Accent1 8 7 3" xfId="21805" xr:uid="{00000000-0005-0000-0000-0000A1300000}"/>
    <cellStyle name="40% - Accent1 8 8" xfId="9426" xr:uid="{00000000-0005-0000-0000-0000A2300000}"/>
    <cellStyle name="40% - Accent1 8 8 2" xfId="17384" xr:uid="{00000000-0005-0000-0000-0000A3300000}"/>
    <cellStyle name="40% - Accent1 8 8 3" xfId="25328" xr:uid="{00000000-0005-0000-0000-0000A4300000}"/>
    <cellStyle name="40% - Accent1 8 9" xfId="10322" xr:uid="{00000000-0005-0000-0000-0000A5300000}"/>
    <cellStyle name="40% - Accent1 8_Exh G" xfId="2789" xr:uid="{00000000-0005-0000-0000-0000A6300000}"/>
    <cellStyle name="40% - Accent1 9" xfId="378" xr:uid="{00000000-0005-0000-0000-0000A7300000}"/>
    <cellStyle name="40% - Accent1 9 10" xfId="18281" xr:uid="{00000000-0005-0000-0000-0000A8300000}"/>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3" xfId="24446" xr:uid="{00000000-0005-0000-0000-0000AF300000}"/>
    <cellStyle name="40% - Accent1 9 2 2 2 2 3" xfId="12962" xr:uid="{00000000-0005-0000-0000-0000B0300000}"/>
    <cellStyle name="40% - Accent1 9 2 2 2 2 4" xfId="20917" xr:uid="{00000000-0005-0000-0000-0000B1300000}"/>
    <cellStyle name="40% - Accent1 9 2 2 2 3" xfId="6770" xr:uid="{00000000-0005-0000-0000-0000B2300000}"/>
    <cellStyle name="40% - Accent1 9 2 2 2 3 2" xfId="14742" xr:uid="{00000000-0005-0000-0000-0000B3300000}"/>
    <cellStyle name="40% - Accent1 9 2 2 2 3 3" xfId="22689" xr:uid="{00000000-0005-0000-0000-0000B4300000}"/>
    <cellStyle name="40% - Accent1 9 2 2 2 4" xfId="11206" xr:uid="{00000000-0005-0000-0000-0000B5300000}"/>
    <cellStyle name="40% - Accent1 9 2 2 2 5" xfId="19161" xr:uid="{00000000-0005-0000-0000-0000B6300000}"/>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3" xfId="23568" xr:uid="{00000000-0005-0000-0000-0000BB300000}"/>
    <cellStyle name="40% - Accent1 9 2 2 3 3" xfId="12084" xr:uid="{00000000-0005-0000-0000-0000BC300000}"/>
    <cellStyle name="40% - Accent1 9 2 2 3 4" xfId="20039" xr:uid="{00000000-0005-0000-0000-0000BD300000}"/>
    <cellStyle name="40% - Accent1 9 2 2 4" xfId="5879" xr:uid="{00000000-0005-0000-0000-0000BE300000}"/>
    <cellStyle name="40% - Accent1 9 2 2 4 2" xfId="13863" xr:uid="{00000000-0005-0000-0000-0000BF300000}"/>
    <cellStyle name="40% - Accent1 9 2 2 4 3" xfId="21811" xr:uid="{00000000-0005-0000-0000-0000C0300000}"/>
    <cellStyle name="40% - Accent1 9 2 2 5" xfId="9432" xr:uid="{00000000-0005-0000-0000-0000C1300000}"/>
    <cellStyle name="40% - Accent1 9 2 2 5 2" xfId="17390" xr:uid="{00000000-0005-0000-0000-0000C2300000}"/>
    <cellStyle name="40% - Accent1 9 2 2 5 3" xfId="25334" xr:uid="{00000000-0005-0000-0000-0000C3300000}"/>
    <cellStyle name="40% - Accent1 9 2 2 6" xfId="10328" xr:uid="{00000000-0005-0000-0000-0000C4300000}"/>
    <cellStyle name="40% - Accent1 9 2 2 7" xfId="18283" xr:uid="{00000000-0005-0000-0000-0000C5300000}"/>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3" xfId="24445" xr:uid="{00000000-0005-0000-0000-0000CB300000}"/>
    <cellStyle name="40% - Accent1 9 2 3 2 3" xfId="12961" xr:uid="{00000000-0005-0000-0000-0000CC300000}"/>
    <cellStyle name="40% - Accent1 9 2 3 2 4" xfId="20916" xr:uid="{00000000-0005-0000-0000-0000CD300000}"/>
    <cellStyle name="40% - Accent1 9 2 3 3" xfId="6769" xr:uid="{00000000-0005-0000-0000-0000CE300000}"/>
    <cellStyle name="40% - Accent1 9 2 3 3 2" xfId="14741" xr:uid="{00000000-0005-0000-0000-0000CF300000}"/>
    <cellStyle name="40% - Accent1 9 2 3 3 3" xfId="22688" xr:uid="{00000000-0005-0000-0000-0000D0300000}"/>
    <cellStyle name="40% - Accent1 9 2 3 4" xfId="11205" xr:uid="{00000000-0005-0000-0000-0000D1300000}"/>
    <cellStyle name="40% - Accent1 9 2 3 5" xfId="19160" xr:uid="{00000000-0005-0000-0000-0000D2300000}"/>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3" xfId="23567" xr:uid="{00000000-0005-0000-0000-0000D7300000}"/>
    <cellStyle name="40% - Accent1 9 2 4 3" xfId="12083" xr:uid="{00000000-0005-0000-0000-0000D8300000}"/>
    <cellStyle name="40% - Accent1 9 2 4 4" xfId="20038" xr:uid="{00000000-0005-0000-0000-0000D9300000}"/>
    <cellStyle name="40% - Accent1 9 2 5" xfId="5878" xr:uid="{00000000-0005-0000-0000-0000DA300000}"/>
    <cellStyle name="40% - Accent1 9 2 5 2" xfId="13862" xr:uid="{00000000-0005-0000-0000-0000DB300000}"/>
    <cellStyle name="40% - Accent1 9 2 5 3" xfId="21810" xr:uid="{00000000-0005-0000-0000-0000DC300000}"/>
    <cellStyle name="40% - Accent1 9 2 6" xfId="9431" xr:uid="{00000000-0005-0000-0000-0000DD300000}"/>
    <cellStyle name="40% - Accent1 9 2 6 2" xfId="17389" xr:uid="{00000000-0005-0000-0000-0000DE300000}"/>
    <cellStyle name="40% - Accent1 9 2 6 3" xfId="25333" xr:uid="{00000000-0005-0000-0000-0000DF300000}"/>
    <cellStyle name="40% - Accent1 9 2 7" xfId="10327" xr:uid="{00000000-0005-0000-0000-0000E0300000}"/>
    <cellStyle name="40% - Accent1 9 2 8" xfId="18282" xr:uid="{00000000-0005-0000-0000-0000E1300000}"/>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3" xfId="24447" xr:uid="{00000000-0005-0000-0000-0000E8300000}"/>
    <cellStyle name="40% - Accent1 9 3 2 2 3" xfId="12963" xr:uid="{00000000-0005-0000-0000-0000E9300000}"/>
    <cellStyle name="40% - Accent1 9 3 2 2 4" xfId="20918" xr:uid="{00000000-0005-0000-0000-0000EA300000}"/>
    <cellStyle name="40% - Accent1 9 3 2 3" xfId="6771" xr:uid="{00000000-0005-0000-0000-0000EB300000}"/>
    <cellStyle name="40% - Accent1 9 3 2 3 2" xfId="14743" xr:uid="{00000000-0005-0000-0000-0000EC300000}"/>
    <cellStyle name="40% - Accent1 9 3 2 3 3" xfId="22690" xr:uid="{00000000-0005-0000-0000-0000ED300000}"/>
    <cellStyle name="40% - Accent1 9 3 2 4" xfId="11207" xr:uid="{00000000-0005-0000-0000-0000EE300000}"/>
    <cellStyle name="40% - Accent1 9 3 2 5" xfId="19162" xr:uid="{00000000-0005-0000-0000-0000EF300000}"/>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3" xfId="23569" xr:uid="{00000000-0005-0000-0000-0000F4300000}"/>
    <cellStyle name="40% - Accent1 9 3 3 3" xfId="12085" xr:uid="{00000000-0005-0000-0000-0000F5300000}"/>
    <cellStyle name="40% - Accent1 9 3 3 4" xfId="20040" xr:uid="{00000000-0005-0000-0000-0000F6300000}"/>
    <cellStyle name="40% - Accent1 9 3 4" xfId="5880" xr:uid="{00000000-0005-0000-0000-0000F7300000}"/>
    <cellStyle name="40% - Accent1 9 3 4 2" xfId="13864" xr:uid="{00000000-0005-0000-0000-0000F8300000}"/>
    <cellStyle name="40% - Accent1 9 3 4 3" xfId="21812" xr:uid="{00000000-0005-0000-0000-0000F9300000}"/>
    <cellStyle name="40% - Accent1 9 3 5" xfId="9433" xr:uid="{00000000-0005-0000-0000-0000FA300000}"/>
    <cellStyle name="40% - Accent1 9 3 5 2" xfId="17391" xr:uid="{00000000-0005-0000-0000-0000FB300000}"/>
    <cellStyle name="40% - Accent1 9 3 5 3" xfId="25335" xr:uid="{00000000-0005-0000-0000-0000FC300000}"/>
    <cellStyle name="40% - Accent1 9 3 6" xfId="10329" xr:uid="{00000000-0005-0000-0000-0000FD300000}"/>
    <cellStyle name="40% - Accent1 9 3 7" xfId="18284" xr:uid="{00000000-0005-0000-0000-0000FE300000}"/>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3" xfId="24894" xr:uid="{00000000-0005-0000-0000-000005310000}"/>
    <cellStyle name="40% - Accent1 9 4 2 2 3" xfId="13410" xr:uid="{00000000-0005-0000-0000-000006310000}"/>
    <cellStyle name="40% - Accent1 9 4 2 2 4" xfId="21365" xr:uid="{00000000-0005-0000-0000-000007310000}"/>
    <cellStyle name="40% - Accent1 9 4 2 3" xfId="7218" xr:uid="{00000000-0005-0000-0000-000008310000}"/>
    <cellStyle name="40% - Accent1 9 4 2 3 2" xfId="15190" xr:uid="{00000000-0005-0000-0000-000009310000}"/>
    <cellStyle name="40% - Accent1 9 4 2 3 3" xfId="23137" xr:uid="{00000000-0005-0000-0000-00000A310000}"/>
    <cellStyle name="40% - Accent1 9 4 2 4" xfId="11654" xr:uid="{00000000-0005-0000-0000-00000B310000}"/>
    <cellStyle name="40% - Accent1 9 4 2 5" xfId="19609" xr:uid="{00000000-0005-0000-0000-00000C310000}"/>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3" xfId="24016" xr:uid="{00000000-0005-0000-0000-000011310000}"/>
    <cellStyle name="40% - Accent1 9 4 3 3" xfId="12532" xr:uid="{00000000-0005-0000-0000-000012310000}"/>
    <cellStyle name="40% - Accent1 9 4 3 4" xfId="20487" xr:uid="{00000000-0005-0000-0000-000013310000}"/>
    <cellStyle name="40% - Accent1 9 4 4" xfId="6337" xr:uid="{00000000-0005-0000-0000-000014310000}"/>
    <cellStyle name="40% - Accent1 9 4 4 2" xfId="14312" xr:uid="{00000000-0005-0000-0000-000015310000}"/>
    <cellStyle name="40% - Accent1 9 4 4 3" xfId="22259" xr:uid="{00000000-0005-0000-0000-000016310000}"/>
    <cellStyle name="40% - Accent1 9 4 5" xfId="9880" xr:uid="{00000000-0005-0000-0000-000017310000}"/>
    <cellStyle name="40% - Accent1 9 4 5 2" xfId="17838" xr:uid="{00000000-0005-0000-0000-000018310000}"/>
    <cellStyle name="40% - Accent1 9 4 5 3" xfId="25782" xr:uid="{00000000-0005-0000-0000-000019310000}"/>
    <cellStyle name="40% - Accent1 9 4 6" xfId="10776" xr:uid="{00000000-0005-0000-0000-00001A310000}"/>
    <cellStyle name="40% - Accent1 9 4 7" xfId="18731" xr:uid="{00000000-0005-0000-0000-00001B310000}"/>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3" xfId="24444" xr:uid="{00000000-0005-0000-0000-000021310000}"/>
    <cellStyle name="40% - Accent1 9 5 2 3" xfId="12960" xr:uid="{00000000-0005-0000-0000-000022310000}"/>
    <cellStyle name="40% - Accent1 9 5 2 4" xfId="20915" xr:uid="{00000000-0005-0000-0000-000023310000}"/>
    <cellStyle name="40% - Accent1 9 5 3" xfId="6768" xr:uid="{00000000-0005-0000-0000-000024310000}"/>
    <cellStyle name="40% - Accent1 9 5 3 2" xfId="14740" xr:uid="{00000000-0005-0000-0000-000025310000}"/>
    <cellStyle name="40% - Accent1 9 5 3 3" xfId="22687" xr:uid="{00000000-0005-0000-0000-000026310000}"/>
    <cellStyle name="40% - Accent1 9 5 4" xfId="11204" xr:uid="{00000000-0005-0000-0000-000027310000}"/>
    <cellStyle name="40% - Accent1 9 5 5" xfId="19159" xr:uid="{00000000-0005-0000-0000-000028310000}"/>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3" xfId="23566" xr:uid="{00000000-0005-0000-0000-00002D310000}"/>
    <cellStyle name="40% - Accent1 9 6 3" xfId="12082" xr:uid="{00000000-0005-0000-0000-00002E310000}"/>
    <cellStyle name="40% - Accent1 9 6 4" xfId="20037" xr:uid="{00000000-0005-0000-0000-00002F310000}"/>
    <cellStyle name="40% - Accent1 9 7" xfId="5877" xr:uid="{00000000-0005-0000-0000-000030310000}"/>
    <cellStyle name="40% - Accent1 9 7 2" xfId="13861" xr:uid="{00000000-0005-0000-0000-000031310000}"/>
    <cellStyle name="40% - Accent1 9 7 3" xfId="21809" xr:uid="{00000000-0005-0000-0000-000032310000}"/>
    <cellStyle name="40% - Accent1 9 8" xfId="9430" xr:uid="{00000000-0005-0000-0000-000033310000}"/>
    <cellStyle name="40% - Accent1 9 8 2" xfId="17388" xr:uid="{00000000-0005-0000-0000-000034310000}"/>
    <cellStyle name="40% - Accent1 9 8 3" xfId="25332" xr:uid="{00000000-0005-0000-0000-000035310000}"/>
    <cellStyle name="40% - Accent1 9 9" xfId="10326" xr:uid="{00000000-0005-0000-0000-000036310000}"/>
    <cellStyle name="40% - Accent1 9_Exh G" xfId="2799" xr:uid="{00000000-0005-0000-0000-000037310000}"/>
    <cellStyle name="40% - Accent2 10" xfId="382" xr:uid="{00000000-0005-0000-0000-000038310000}"/>
    <cellStyle name="40% - Accent2 10 10" xfId="18285" xr:uid="{00000000-0005-0000-0000-000039310000}"/>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3" xfId="24450" xr:uid="{00000000-0005-0000-0000-000040310000}"/>
    <cellStyle name="40% - Accent2 10 2 2 2 2 3" xfId="12966" xr:uid="{00000000-0005-0000-0000-000041310000}"/>
    <cellStyle name="40% - Accent2 10 2 2 2 2 4" xfId="20921" xr:uid="{00000000-0005-0000-0000-000042310000}"/>
    <cellStyle name="40% - Accent2 10 2 2 2 3" xfId="6774" xr:uid="{00000000-0005-0000-0000-000043310000}"/>
    <cellStyle name="40% - Accent2 10 2 2 2 3 2" xfId="14746" xr:uid="{00000000-0005-0000-0000-000044310000}"/>
    <cellStyle name="40% - Accent2 10 2 2 2 3 3" xfId="22693" xr:uid="{00000000-0005-0000-0000-000045310000}"/>
    <cellStyle name="40% - Accent2 10 2 2 2 4" xfId="11210" xr:uid="{00000000-0005-0000-0000-000046310000}"/>
    <cellStyle name="40% - Accent2 10 2 2 2 5" xfId="19165" xr:uid="{00000000-0005-0000-0000-000047310000}"/>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3" xfId="23572" xr:uid="{00000000-0005-0000-0000-00004C310000}"/>
    <cellStyle name="40% - Accent2 10 2 2 3 3" xfId="12088" xr:uid="{00000000-0005-0000-0000-00004D310000}"/>
    <cellStyle name="40% - Accent2 10 2 2 3 4" xfId="20043" xr:uid="{00000000-0005-0000-0000-00004E310000}"/>
    <cellStyle name="40% - Accent2 10 2 2 4" xfId="5883" xr:uid="{00000000-0005-0000-0000-00004F310000}"/>
    <cellStyle name="40% - Accent2 10 2 2 4 2" xfId="13867" xr:uid="{00000000-0005-0000-0000-000050310000}"/>
    <cellStyle name="40% - Accent2 10 2 2 4 3" xfId="21815" xr:uid="{00000000-0005-0000-0000-000051310000}"/>
    <cellStyle name="40% - Accent2 10 2 2 5" xfId="9436" xr:uid="{00000000-0005-0000-0000-000052310000}"/>
    <cellStyle name="40% - Accent2 10 2 2 5 2" xfId="17394" xr:uid="{00000000-0005-0000-0000-000053310000}"/>
    <cellStyle name="40% - Accent2 10 2 2 5 3" xfId="25338" xr:uid="{00000000-0005-0000-0000-000054310000}"/>
    <cellStyle name="40% - Accent2 10 2 2 6" xfId="10332" xr:uid="{00000000-0005-0000-0000-000055310000}"/>
    <cellStyle name="40% - Accent2 10 2 2 7" xfId="18287" xr:uid="{00000000-0005-0000-0000-000056310000}"/>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3" xfId="24449" xr:uid="{00000000-0005-0000-0000-00005C310000}"/>
    <cellStyle name="40% - Accent2 10 2 3 2 3" xfId="12965" xr:uid="{00000000-0005-0000-0000-00005D310000}"/>
    <cellStyle name="40% - Accent2 10 2 3 2 4" xfId="20920" xr:uid="{00000000-0005-0000-0000-00005E310000}"/>
    <cellStyle name="40% - Accent2 10 2 3 3" xfId="6773" xr:uid="{00000000-0005-0000-0000-00005F310000}"/>
    <cellStyle name="40% - Accent2 10 2 3 3 2" xfId="14745" xr:uid="{00000000-0005-0000-0000-000060310000}"/>
    <cellStyle name="40% - Accent2 10 2 3 3 3" xfId="22692" xr:uid="{00000000-0005-0000-0000-000061310000}"/>
    <cellStyle name="40% - Accent2 10 2 3 4" xfId="11209" xr:uid="{00000000-0005-0000-0000-000062310000}"/>
    <cellStyle name="40% - Accent2 10 2 3 5" xfId="19164" xr:uid="{00000000-0005-0000-0000-000063310000}"/>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3" xfId="23571" xr:uid="{00000000-0005-0000-0000-000068310000}"/>
    <cellStyle name="40% - Accent2 10 2 4 3" xfId="12087" xr:uid="{00000000-0005-0000-0000-000069310000}"/>
    <cellStyle name="40% - Accent2 10 2 4 4" xfId="20042" xr:uid="{00000000-0005-0000-0000-00006A310000}"/>
    <cellStyle name="40% - Accent2 10 2 5" xfId="5882" xr:uid="{00000000-0005-0000-0000-00006B310000}"/>
    <cellStyle name="40% - Accent2 10 2 5 2" xfId="13866" xr:uid="{00000000-0005-0000-0000-00006C310000}"/>
    <cellStyle name="40% - Accent2 10 2 5 3" xfId="21814" xr:uid="{00000000-0005-0000-0000-00006D310000}"/>
    <cellStyle name="40% - Accent2 10 2 6" xfId="9435" xr:uid="{00000000-0005-0000-0000-00006E310000}"/>
    <cellStyle name="40% - Accent2 10 2 6 2" xfId="17393" xr:uid="{00000000-0005-0000-0000-00006F310000}"/>
    <cellStyle name="40% - Accent2 10 2 6 3" xfId="25337" xr:uid="{00000000-0005-0000-0000-000070310000}"/>
    <cellStyle name="40% - Accent2 10 2 7" xfId="10331" xr:uid="{00000000-0005-0000-0000-000071310000}"/>
    <cellStyle name="40% - Accent2 10 2 8" xfId="18286" xr:uid="{00000000-0005-0000-0000-000072310000}"/>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3" xfId="24451" xr:uid="{00000000-0005-0000-0000-000079310000}"/>
    <cellStyle name="40% - Accent2 10 3 2 2 3" xfId="12967" xr:uid="{00000000-0005-0000-0000-00007A310000}"/>
    <cellStyle name="40% - Accent2 10 3 2 2 4" xfId="20922" xr:uid="{00000000-0005-0000-0000-00007B310000}"/>
    <cellStyle name="40% - Accent2 10 3 2 3" xfId="6775" xr:uid="{00000000-0005-0000-0000-00007C310000}"/>
    <cellStyle name="40% - Accent2 10 3 2 3 2" xfId="14747" xr:uid="{00000000-0005-0000-0000-00007D310000}"/>
    <cellStyle name="40% - Accent2 10 3 2 3 3" xfId="22694" xr:uid="{00000000-0005-0000-0000-00007E310000}"/>
    <cellStyle name="40% - Accent2 10 3 2 4" xfId="11211" xr:uid="{00000000-0005-0000-0000-00007F310000}"/>
    <cellStyle name="40% - Accent2 10 3 2 5" xfId="19166" xr:uid="{00000000-0005-0000-0000-000080310000}"/>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3" xfId="23573" xr:uid="{00000000-0005-0000-0000-000085310000}"/>
    <cellStyle name="40% - Accent2 10 3 3 3" xfId="12089" xr:uid="{00000000-0005-0000-0000-000086310000}"/>
    <cellStyle name="40% - Accent2 10 3 3 4" xfId="20044" xr:uid="{00000000-0005-0000-0000-000087310000}"/>
    <cellStyle name="40% - Accent2 10 3 4" xfId="5884" xr:uid="{00000000-0005-0000-0000-000088310000}"/>
    <cellStyle name="40% - Accent2 10 3 4 2" xfId="13868" xr:uid="{00000000-0005-0000-0000-000089310000}"/>
    <cellStyle name="40% - Accent2 10 3 4 3" xfId="21816" xr:uid="{00000000-0005-0000-0000-00008A310000}"/>
    <cellStyle name="40% - Accent2 10 3 5" xfId="9437" xr:uid="{00000000-0005-0000-0000-00008B310000}"/>
    <cellStyle name="40% - Accent2 10 3 5 2" xfId="17395" xr:uid="{00000000-0005-0000-0000-00008C310000}"/>
    <cellStyle name="40% - Accent2 10 3 5 3" xfId="25339" xr:uid="{00000000-0005-0000-0000-00008D310000}"/>
    <cellStyle name="40% - Accent2 10 3 6" xfId="10333" xr:uid="{00000000-0005-0000-0000-00008E310000}"/>
    <cellStyle name="40% - Accent2 10 3 7" xfId="18288" xr:uid="{00000000-0005-0000-0000-00008F310000}"/>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3" xfId="24448" xr:uid="{00000000-0005-0000-0000-000096310000}"/>
    <cellStyle name="40% - Accent2 10 5 2 3" xfId="12964" xr:uid="{00000000-0005-0000-0000-000097310000}"/>
    <cellStyle name="40% - Accent2 10 5 2 4" xfId="20919" xr:uid="{00000000-0005-0000-0000-000098310000}"/>
    <cellStyle name="40% - Accent2 10 5 3" xfId="6772" xr:uid="{00000000-0005-0000-0000-000099310000}"/>
    <cellStyle name="40% - Accent2 10 5 3 2" xfId="14744" xr:uid="{00000000-0005-0000-0000-00009A310000}"/>
    <cellStyle name="40% - Accent2 10 5 3 3" xfId="22691" xr:uid="{00000000-0005-0000-0000-00009B310000}"/>
    <cellStyle name="40% - Accent2 10 5 4" xfId="11208" xr:uid="{00000000-0005-0000-0000-00009C310000}"/>
    <cellStyle name="40% - Accent2 10 5 5" xfId="19163" xr:uid="{00000000-0005-0000-0000-00009D310000}"/>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3" xfId="23570" xr:uid="{00000000-0005-0000-0000-0000A2310000}"/>
    <cellStyle name="40% - Accent2 10 6 3" xfId="12086" xr:uid="{00000000-0005-0000-0000-0000A3310000}"/>
    <cellStyle name="40% - Accent2 10 6 4" xfId="20041" xr:uid="{00000000-0005-0000-0000-0000A4310000}"/>
    <cellStyle name="40% - Accent2 10 7" xfId="5881" xr:uid="{00000000-0005-0000-0000-0000A5310000}"/>
    <cellStyle name="40% - Accent2 10 7 2" xfId="13865" xr:uid="{00000000-0005-0000-0000-0000A6310000}"/>
    <cellStyle name="40% - Accent2 10 7 3" xfId="21813" xr:uid="{00000000-0005-0000-0000-0000A7310000}"/>
    <cellStyle name="40% - Accent2 10 8" xfId="9434" xr:uid="{00000000-0005-0000-0000-0000A8310000}"/>
    <cellStyle name="40% - Accent2 10 8 2" xfId="17392" xr:uid="{00000000-0005-0000-0000-0000A9310000}"/>
    <cellStyle name="40% - Accent2 10 8 3" xfId="25336" xr:uid="{00000000-0005-0000-0000-0000AA310000}"/>
    <cellStyle name="40% - Accent2 10 9" xfId="10330" xr:uid="{00000000-0005-0000-0000-0000AB310000}"/>
    <cellStyle name="40% - Accent2 10_Exh G" xfId="2809" xr:uid="{00000000-0005-0000-0000-0000AC310000}"/>
    <cellStyle name="40% - Accent2 11" xfId="386" xr:uid="{00000000-0005-0000-0000-0000AD310000}"/>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3" xfId="24454" xr:uid="{00000000-0005-0000-0000-0000B4310000}"/>
    <cellStyle name="40% - Accent2 11 2 2 2 2 3" xfId="12970" xr:uid="{00000000-0005-0000-0000-0000B5310000}"/>
    <cellStyle name="40% - Accent2 11 2 2 2 2 4" xfId="20925" xr:uid="{00000000-0005-0000-0000-0000B6310000}"/>
    <cellStyle name="40% - Accent2 11 2 2 2 3" xfId="6778" xr:uid="{00000000-0005-0000-0000-0000B7310000}"/>
    <cellStyle name="40% - Accent2 11 2 2 2 3 2" xfId="14750" xr:uid="{00000000-0005-0000-0000-0000B8310000}"/>
    <cellStyle name="40% - Accent2 11 2 2 2 3 3" xfId="22697" xr:uid="{00000000-0005-0000-0000-0000B9310000}"/>
    <cellStyle name="40% - Accent2 11 2 2 2 4" xfId="11214" xr:uid="{00000000-0005-0000-0000-0000BA310000}"/>
    <cellStyle name="40% - Accent2 11 2 2 2 5" xfId="19169" xr:uid="{00000000-0005-0000-0000-0000BB310000}"/>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3" xfId="23576" xr:uid="{00000000-0005-0000-0000-0000C0310000}"/>
    <cellStyle name="40% - Accent2 11 2 2 3 3" xfId="12092" xr:uid="{00000000-0005-0000-0000-0000C1310000}"/>
    <cellStyle name="40% - Accent2 11 2 2 3 4" xfId="20047" xr:uid="{00000000-0005-0000-0000-0000C2310000}"/>
    <cellStyle name="40% - Accent2 11 2 2 4" xfId="5887" xr:uid="{00000000-0005-0000-0000-0000C3310000}"/>
    <cellStyle name="40% - Accent2 11 2 2 4 2" xfId="13871" xr:uid="{00000000-0005-0000-0000-0000C4310000}"/>
    <cellStyle name="40% - Accent2 11 2 2 4 3" xfId="21819" xr:uid="{00000000-0005-0000-0000-0000C5310000}"/>
    <cellStyle name="40% - Accent2 11 2 2 5" xfId="9440" xr:uid="{00000000-0005-0000-0000-0000C6310000}"/>
    <cellStyle name="40% - Accent2 11 2 2 5 2" xfId="17398" xr:uid="{00000000-0005-0000-0000-0000C7310000}"/>
    <cellStyle name="40% - Accent2 11 2 2 5 3" xfId="25342" xr:uid="{00000000-0005-0000-0000-0000C8310000}"/>
    <cellStyle name="40% - Accent2 11 2 2 6" xfId="10336" xr:uid="{00000000-0005-0000-0000-0000C9310000}"/>
    <cellStyle name="40% - Accent2 11 2 2 7" xfId="18291" xr:uid="{00000000-0005-0000-0000-0000CA310000}"/>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3" xfId="24453" xr:uid="{00000000-0005-0000-0000-0000D0310000}"/>
    <cellStyle name="40% - Accent2 11 2 3 2 3" xfId="12969" xr:uid="{00000000-0005-0000-0000-0000D1310000}"/>
    <cellStyle name="40% - Accent2 11 2 3 2 4" xfId="20924" xr:uid="{00000000-0005-0000-0000-0000D2310000}"/>
    <cellStyle name="40% - Accent2 11 2 3 3" xfId="6777" xr:uid="{00000000-0005-0000-0000-0000D3310000}"/>
    <cellStyle name="40% - Accent2 11 2 3 3 2" xfId="14749" xr:uid="{00000000-0005-0000-0000-0000D4310000}"/>
    <cellStyle name="40% - Accent2 11 2 3 3 3" xfId="22696" xr:uid="{00000000-0005-0000-0000-0000D5310000}"/>
    <cellStyle name="40% - Accent2 11 2 3 4" xfId="11213" xr:uid="{00000000-0005-0000-0000-0000D6310000}"/>
    <cellStyle name="40% - Accent2 11 2 3 5" xfId="19168" xr:uid="{00000000-0005-0000-0000-0000D7310000}"/>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3" xfId="23575" xr:uid="{00000000-0005-0000-0000-0000DC310000}"/>
    <cellStyle name="40% - Accent2 11 2 4 3" xfId="12091" xr:uid="{00000000-0005-0000-0000-0000DD310000}"/>
    <cellStyle name="40% - Accent2 11 2 4 4" xfId="20046" xr:uid="{00000000-0005-0000-0000-0000DE310000}"/>
    <cellStyle name="40% - Accent2 11 2 5" xfId="5886" xr:uid="{00000000-0005-0000-0000-0000DF310000}"/>
    <cellStyle name="40% - Accent2 11 2 5 2" xfId="13870" xr:uid="{00000000-0005-0000-0000-0000E0310000}"/>
    <cellStyle name="40% - Accent2 11 2 5 3" xfId="21818" xr:uid="{00000000-0005-0000-0000-0000E1310000}"/>
    <cellStyle name="40% - Accent2 11 2 6" xfId="9439" xr:uid="{00000000-0005-0000-0000-0000E2310000}"/>
    <cellStyle name="40% - Accent2 11 2 6 2" xfId="17397" xr:uid="{00000000-0005-0000-0000-0000E3310000}"/>
    <cellStyle name="40% - Accent2 11 2 6 3" xfId="25341" xr:uid="{00000000-0005-0000-0000-0000E4310000}"/>
    <cellStyle name="40% - Accent2 11 2 7" xfId="10335" xr:uid="{00000000-0005-0000-0000-0000E5310000}"/>
    <cellStyle name="40% - Accent2 11 2 8" xfId="18290" xr:uid="{00000000-0005-0000-0000-0000E6310000}"/>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3" xfId="24455" xr:uid="{00000000-0005-0000-0000-0000ED310000}"/>
    <cellStyle name="40% - Accent2 11 3 2 2 3" xfId="12971" xr:uid="{00000000-0005-0000-0000-0000EE310000}"/>
    <cellStyle name="40% - Accent2 11 3 2 2 4" xfId="20926" xr:uid="{00000000-0005-0000-0000-0000EF310000}"/>
    <cellStyle name="40% - Accent2 11 3 2 3" xfId="6779" xr:uid="{00000000-0005-0000-0000-0000F0310000}"/>
    <cellStyle name="40% - Accent2 11 3 2 3 2" xfId="14751" xr:uid="{00000000-0005-0000-0000-0000F1310000}"/>
    <cellStyle name="40% - Accent2 11 3 2 3 3" xfId="22698" xr:uid="{00000000-0005-0000-0000-0000F2310000}"/>
    <cellStyle name="40% - Accent2 11 3 2 4" xfId="11215" xr:uid="{00000000-0005-0000-0000-0000F3310000}"/>
    <cellStyle name="40% - Accent2 11 3 2 5" xfId="19170" xr:uid="{00000000-0005-0000-0000-0000F4310000}"/>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3" xfId="23577" xr:uid="{00000000-0005-0000-0000-0000F9310000}"/>
    <cellStyle name="40% - Accent2 11 3 3 3" xfId="12093" xr:uid="{00000000-0005-0000-0000-0000FA310000}"/>
    <cellStyle name="40% - Accent2 11 3 3 4" xfId="20048" xr:uid="{00000000-0005-0000-0000-0000FB310000}"/>
    <cellStyle name="40% - Accent2 11 3 4" xfId="5888" xr:uid="{00000000-0005-0000-0000-0000FC310000}"/>
    <cellStyle name="40% - Accent2 11 3 4 2" xfId="13872" xr:uid="{00000000-0005-0000-0000-0000FD310000}"/>
    <cellStyle name="40% - Accent2 11 3 4 3" xfId="21820" xr:uid="{00000000-0005-0000-0000-0000FE310000}"/>
    <cellStyle name="40% - Accent2 11 3 5" xfId="9441" xr:uid="{00000000-0005-0000-0000-0000FF310000}"/>
    <cellStyle name="40% - Accent2 11 3 5 2" xfId="17399" xr:uid="{00000000-0005-0000-0000-000000320000}"/>
    <cellStyle name="40% - Accent2 11 3 5 3" xfId="25343" xr:uid="{00000000-0005-0000-0000-000001320000}"/>
    <cellStyle name="40% - Accent2 11 3 6" xfId="10337" xr:uid="{00000000-0005-0000-0000-000002320000}"/>
    <cellStyle name="40% - Accent2 11 3 7" xfId="18292" xr:uid="{00000000-0005-0000-0000-000003320000}"/>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3" xfId="24452" xr:uid="{00000000-0005-0000-0000-000009320000}"/>
    <cellStyle name="40% - Accent2 11 4 2 3" xfId="12968" xr:uid="{00000000-0005-0000-0000-00000A320000}"/>
    <cellStyle name="40% - Accent2 11 4 2 4" xfId="20923" xr:uid="{00000000-0005-0000-0000-00000B320000}"/>
    <cellStyle name="40% - Accent2 11 4 3" xfId="6776" xr:uid="{00000000-0005-0000-0000-00000C320000}"/>
    <cellStyle name="40% - Accent2 11 4 3 2" xfId="14748" xr:uid="{00000000-0005-0000-0000-00000D320000}"/>
    <cellStyle name="40% - Accent2 11 4 3 3" xfId="22695" xr:uid="{00000000-0005-0000-0000-00000E320000}"/>
    <cellStyle name="40% - Accent2 11 4 4" xfId="11212" xr:uid="{00000000-0005-0000-0000-00000F320000}"/>
    <cellStyle name="40% - Accent2 11 4 5" xfId="19167" xr:uid="{00000000-0005-0000-0000-000010320000}"/>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3" xfId="23574" xr:uid="{00000000-0005-0000-0000-000015320000}"/>
    <cellStyle name="40% - Accent2 11 5 3" xfId="12090" xr:uid="{00000000-0005-0000-0000-000016320000}"/>
    <cellStyle name="40% - Accent2 11 5 4" xfId="20045" xr:uid="{00000000-0005-0000-0000-000017320000}"/>
    <cellStyle name="40% - Accent2 11 6" xfId="5885" xr:uid="{00000000-0005-0000-0000-000018320000}"/>
    <cellStyle name="40% - Accent2 11 6 2" xfId="13869" xr:uid="{00000000-0005-0000-0000-000019320000}"/>
    <cellStyle name="40% - Accent2 11 6 3" xfId="21817" xr:uid="{00000000-0005-0000-0000-00001A320000}"/>
    <cellStyle name="40% - Accent2 11 7" xfId="9438" xr:uid="{00000000-0005-0000-0000-00001B320000}"/>
    <cellStyle name="40% - Accent2 11 7 2" xfId="17396" xr:uid="{00000000-0005-0000-0000-00001C320000}"/>
    <cellStyle name="40% - Accent2 11 7 3" xfId="25340" xr:uid="{00000000-0005-0000-0000-00001D320000}"/>
    <cellStyle name="40% - Accent2 11 8" xfId="10334" xr:uid="{00000000-0005-0000-0000-00001E320000}"/>
    <cellStyle name="40% - Accent2 11 9" xfId="18289" xr:uid="{00000000-0005-0000-0000-00001F320000}"/>
    <cellStyle name="40% - Accent2 11_Exh G" xfId="2817" xr:uid="{00000000-0005-0000-0000-000020320000}"/>
    <cellStyle name="40% - Accent2 12" xfId="390" xr:uid="{00000000-0005-0000-0000-000021320000}"/>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3" xfId="24458" xr:uid="{00000000-0005-0000-0000-000028320000}"/>
    <cellStyle name="40% - Accent2 12 2 2 2 2 3" xfId="12974" xr:uid="{00000000-0005-0000-0000-000029320000}"/>
    <cellStyle name="40% - Accent2 12 2 2 2 2 4" xfId="20929" xr:uid="{00000000-0005-0000-0000-00002A320000}"/>
    <cellStyle name="40% - Accent2 12 2 2 2 3" xfId="6782" xr:uid="{00000000-0005-0000-0000-00002B320000}"/>
    <cellStyle name="40% - Accent2 12 2 2 2 3 2" xfId="14754" xr:uid="{00000000-0005-0000-0000-00002C320000}"/>
    <cellStyle name="40% - Accent2 12 2 2 2 3 3" xfId="22701" xr:uid="{00000000-0005-0000-0000-00002D320000}"/>
    <cellStyle name="40% - Accent2 12 2 2 2 4" xfId="11218" xr:uid="{00000000-0005-0000-0000-00002E320000}"/>
    <cellStyle name="40% - Accent2 12 2 2 2 5" xfId="19173" xr:uid="{00000000-0005-0000-0000-00002F320000}"/>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3" xfId="23580" xr:uid="{00000000-0005-0000-0000-000034320000}"/>
    <cellStyle name="40% - Accent2 12 2 2 3 3" xfId="12096" xr:uid="{00000000-0005-0000-0000-000035320000}"/>
    <cellStyle name="40% - Accent2 12 2 2 3 4" xfId="20051" xr:uid="{00000000-0005-0000-0000-000036320000}"/>
    <cellStyle name="40% - Accent2 12 2 2 4" xfId="5891" xr:uid="{00000000-0005-0000-0000-000037320000}"/>
    <cellStyle name="40% - Accent2 12 2 2 4 2" xfId="13875" xr:uid="{00000000-0005-0000-0000-000038320000}"/>
    <cellStyle name="40% - Accent2 12 2 2 4 3" xfId="21823" xr:uid="{00000000-0005-0000-0000-000039320000}"/>
    <cellStyle name="40% - Accent2 12 2 2 5" xfId="9444" xr:uid="{00000000-0005-0000-0000-00003A320000}"/>
    <cellStyle name="40% - Accent2 12 2 2 5 2" xfId="17402" xr:uid="{00000000-0005-0000-0000-00003B320000}"/>
    <cellStyle name="40% - Accent2 12 2 2 5 3" xfId="25346" xr:uid="{00000000-0005-0000-0000-00003C320000}"/>
    <cellStyle name="40% - Accent2 12 2 2 6" xfId="10340" xr:uid="{00000000-0005-0000-0000-00003D320000}"/>
    <cellStyle name="40% - Accent2 12 2 2 7" xfId="18295" xr:uid="{00000000-0005-0000-0000-00003E320000}"/>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3" xfId="24457" xr:uid="{00000000-0005-0000-0000-000044320000}"/>
    <cellStyle name="40% - Accent2 12 2 3 2 3" xfId="12973" xr:uid="{00000000-0005-0000-0000-000045320000}"/>
    <cellStyle name="40% - Accent2 12 2 3 2 4" xfId="20928" xr:uid="{00000000-0005-0000-0000-000046320000}"/>
    <cellStyle name="40% - Accent2 12 2 3 3" xfId="6781" xr:uid="{00000000-0005-0000-0000-000047320000}"/>
    <cellStyle name="40% - Accent2 12 2 3 3 2" xfId="14753" xr:uid="{00000000-0005-0000-0000-000048320000}"/>
    <cellStyle name="40% - Accent2 12 2 3 3 3" xfId="22700" xr:uid="{00000000-0005-0000-0000-000049320000}"/>
    <cellStyle name="40% - Accent2 12 2 3 4" xfId="11217" xr:uid="{00000000-0005-0000-0000-00004A320000}"/>
    <cellStyle name="40% - Accent2 12 2 3 5" xfId="19172" xr:uid="{00000000-0005-0000-0000-00004B320000}"/>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3" xfId="23579" xr:uid="{00000000-0005-0000-0000-000050320000}"/>
    <cellStyle name="40% - Accent2 12 2 4 3" xfId="12095" xr:uid="{00000000-0005-0000-0000-000051320000}"/>
    <cellStyle name="40% - Accent2 12 2 4 4" xfId="20050" xr:uid="{00000000-0005-0000-0000-000052320000}"/>
    <cellStyle name="40% - Accent2 12 2 5" xfId="5890" xr:uid="{00000000-0005-0000-0000-000053320000}"/>
    <cellStyle name="40% - Accent2 12 2 5 2" xfId="13874" xr:uid="{00000000-0005-0000-0000-000054320000}"/>
    <cellStyle name="40% - Accent2 12 2 5 3" xfId="21822" xr:uid="{00000000-0005-0000-0000-000055320000}"/>
    <cellStyle name="40% - Accent2 12 2 6" xfId="9443" xr:uid="{00000000-0005-0000-0000-000056320000}"/>
    <cellStyle name="40% - Accent2 12 2 6 2" xfId="17401" xr:uid="{00000000-0005-0000-0000-000057320000}"/>
    <cellStyle name="40% - Accent2 12 2 6 3" xfId="25345" xr:uid="{00000000-0005-0000-0000-000058320000}"/>
    <cellStyle name="40% - Accent2 12 2 7" xfId="10339" xr:uid="{00000000-0005-0000-0000-000059320000}"/>
    <cellStyle name="40% - Accent2 12 2 8" xfId="18294" xr:uid="{00000000-0005-0000-0000-00005A320000}"/>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3" xfId="24459" xr:uid="{00000000-0005-0000-0000-000061320000}"/>
    <cellStyle name="40% - Accent2 12 3 2 2 3" xfId="12975" xr:uid="{00000000-0005-0000-0000-000062320000}"/>
    <cellStyle name="40% - Accent2 12 3 2 2 4" xfId="20930" xr:uid="{00000000-0005-0000-0000-000063320000}"/>
    <cellStyle name="40% - Accent2 12 3 2 3" xfId="6783" xr:uid="{00000000-0005-0000-0000-000064320000}"/>
    <cellStyle name="40% - Accent2 12 3 2 3 2" xfId="14755" xr:uid="{00000000-0005-0000-0000-000065320000}"/>
    <cellStyle name="40% - Accent2 12 3 2 3 3" xfId="22702" xr:uid="{00000000-0005-0000-0000-000066320000}"/>
    <cellStyle name="40% - Accent2 12 3 2 4" xfId="11219" xr:uid="{00000000-0005-0000-0000-000067320000}"/>
    <cellStyle name="40% - Accent2 12 3 2 5" xfId="19174" xr:uid="{00000000-0005-0000-0000-000068320000}"/>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3" xfId="23581" xr:uid="{00000000-0005-0000-0000-00006D320000}"/>
    <cellStyle name="40% - Accent2 12 3 3 3" xfId="12097" xr:uid="{00000000-0005-0000-0000-00006E320000}"/>
    <cellStyle name="40% - Accent2 12 3 3 4" xfId="20052" xr:uid="{00000000-0005-0000-0000-00006F320000}"/>
    <cellStyle name="40% - Accent2 12 3 4" xfId="5892" xr:uid="{00000000-0005-0000-0000-000070320000}"/>
    <cellStyle name="40% - Accent2 12 3 4 2" xfId="13876" xr:uid="{00000000-0005-0000-0000-000071320000}"/>
    <cellStyle name="40% - Accent2 12 3 4 3" xfId="21824" xr:uid="{00000000-0005-0000-0000-000072320000}"/>
    <cellStyle name="40% - Accent2 12 3 5" xfId="9445" xr:uid="{00000000-0005-0000-0000-000073320000}"/>
    <cellStyle name="40% - Accent2 12 3 5 2" xfId="17403" xr:uid="{00000000-0005-0000-0000-000074320000}"/>
    <cellStyle name="40% - Accent2 12 3 5 3" xfId="25347" xr:uid="{00000000-0005-0000-0000-000075320000}"/>
    <cellStyle name="40% - Accent2 12 3 6" xfId="10341" xr:uid="{00000000-0005-0000-0000-000076320000}"/>
    <cellStyle name="40% - Accent2 12 3 7" xfId="18296" xr:uid="{00000000-0005-0000-0000-000077320000}"/>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3" xfId="24456" xr:uid="{00000000-0005-0000-0000-00007D320000}"/>
    <cellStyle name="40% - Accent2 12 4 2 3" xfId="12972" xr:uid="{00000000-0005-0000-0000-00007E320000}"/>
    <cellStyle name="40% - Accent2 12 4 2 4" xfId="20927" xr:uid="{00000000-0005-0000-0000-00007F320000}"/>
    <cellStyle name="40% - Accent2 12 4 3" xfId="6780" xr:uid="{00000000-0005-0000-0000-000080320000}"/>
    <cellStyle name="40% - Accent2 12 4 3 2" xfId="14752" xr:uid="{00000000-0005-0000-0000-000081320000}"/>
    <cellStyle name="40% - Accent2 12 4 3 3" xfId="22699" xr:uid="{00000000-0005-0000-0000-000082320000}"/>
    <cellStyle name="40% - Accent2 12 4 4" xfId="11216" xr:uid="{00000000-0005-0000-0000-000083320000}"/>
    <cellStyle name="40% - Accent2 12 4 5" xfId="19171" xr:uid="{00000000-0005-0000-0000-000084320000}"/>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3" xfId="23578" xr:uid="{00000000-0005-0000-0000-000089320000}"/>
    <cellStyle name="40% - Accent2 12 5 3" xfId="12094" xr:uid="{00000000-0005-0000-0000-00008A320000}"/>
    <cellStyle name="40% - Accent2 12 5 4" xfId="20049" xr:uid="{00000000-0005-0000-0000-00008B320000}"/>
    <cellStyle name="40% - Accent2 12 6" xfId="5889" xr:uid="{00000000-0005-0000-0000-00008C320000}"/>
    <cellStyle name="40% - Accent2 12 6 2" xfId="13873" xr:uid="{00000000-0005-0000-0000-00008D320000}"/>
    <cellStyle name="40% - Accent2 12 6 3" xfId="21821" xr:uid="{00000000-0005-0000-0000-00008E320000}"/>
    <cellStyle name="40% - Accent2 12 7" xfId="9442" xr:uid="{00000000-0005-0000-0000-00008F320000}"/>
    <cellStyle name="40% - Accent2 12 7 2" xfId="17400" xr:uid="{00000000-0005-0000-0000-000090320000}"/>
    <cellStyle name="40% - Accent2 12 7 3" xfId="25344" xr:uid="{00000000-0005-0000-0000-000091320000}"/>
    <cellStyle name="40% - Accent2 12 8" xfId="10338" xr:uid="{00000000-0005-0000-0000-000092320000}"/>
    <cellStyle name="40% - Accent2 12 9" xfId="18293" xr:uid="{00000000-0005-0000-0000-000093320000}"/>
    <cellStyle name="40% - Accent2 12_Exh G" xfId="2825" xr:uid="{00000000-0005-0000-0000-000094320000}"/>
    <cellStyle name="40% - Accent2 13" xfId="394" xr:uid="{00000000-0005-0000-0000-000095320000}"/>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3" xfId="24462" xr:uid="{00000000-0005-0000-0000-00009C320000}"/>
    <cellStyle name="40% - Accent2 13 2 2 2 2 3" xfId="12978" xr:uid="{00000000-0005-0000-0000-00009D320000}"/>
    <cellStyle name="40% - Accent2 13 2 2 2 2 4" xfId="20933" xr:uid="{00000000-0005-0000-0000-00009E320000}"/>
    <cellStyle name="40% - Accent2 13 2 2 2 3" xfId="6786" xr:uid="{00000000-0005-0000-0000-00009F320000}"/>
    <cellStyle name="40% - Accent2 13 2 2 2 3 2" xfId="14758" xr:uid="{00000000-0005-0000-0000-0000A0320000}"/>
    <cellStyle name="40% - Accent2 13 2 2 2 3 3" xfId="22705" xr:uid="{00000000-0005-0000-0000-0000A1320000}"/>
    <cellStyle name="40% - Accent2 13 2 2 2 4" xfId="11222" xr:uid="{00000000-0005-0000-0000-0000A2320000}"/>
    <cellStyle name="40% - Accent2 13 2 2 2 5" xfId="19177" xr:uid="{00000000-0005-0000-0000-0000A3320000}"/>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3" xfId="23584" xr:uid="{00000000-0005-0000-0000-0000A8320000}"/>
    <cellStyle name="40% - Accent2 13 2 2 3 3" xfId="12100" xr:uid="{00000000-0005-0000-0000-0000A9320000}"/>
    <cellStyle name="40% - Accent2 13 2 2 3 4" xfId="20055" xr:uid="{00000000-0005-0000-0000-0000AA320000}"/>
    <cellStyle name="40% - Accent2 13 2 2 4" xfId="5895" xr:uid="{00000000-0005-0000-0000-0000AB320000}"/>
    <cellStyle name="40% - Accent2 13 2 2 4 2" xfId="13879" xr:uid="{00000000-0005-0000-0000-0000AC320000}"/>
    <cellStyle name="40% - Accent2 13 2 2 4 3" xfId="21827" xr:uid="{00000000-0005-0000-0000-0000AD320000}"/>
    <cellStyle name="40% - Accent2 13 2 2 5" xfId="9448" xr:uid="{00000000-0005-0000-0000-0000AE320000}"/>
    <cellStyle name="40% - Accent2 13 2 2 5 2" xfId="17406" xr:uid="{00000000-0005-0000-0000-0000AF320000}"/>
    <cellStyle name="40% - Accent2 13 2 2 5 3" xfId="25350" xr:uid="{00000000-0005-0000-0000-0000B0320000}"/>
    <cellStyle name="40% - Accent2 13 2 2 6" xfId="10344" xr:uid="{00000000-0005-0000-0000-0000B1320000}"/>
    <cellStyle name="40% - Accent2 13 2 2 7" xfId="18299" xr:uid="{00000000-0005-0000-0000-0000B2320000}"/>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3" xfId="24461" xr:uid="{00000000-0005-0000-0000-0000B8320000}"/>
    <cellStyle name="40% - Accent2 13 2 3 2 3" xfId="12977" xr:uid="{00000000-0005-0000-0000-0000B9320000}"/>
    <cellStyle name="40% - Accent2 13 2 3 2 4" xfId="20932" xr:uid="{00000000-0005-0000-0000-0000BA320000}"/>
    <cellStyle name="40% - Accent2 13 2 3 3" xfId="6785" xr:uid="{00000000-0005-0000-0000-0000BB320000}"/>
    <cellStyle name="40% - Accent2 13 2 3 3 2" xfId="14757" xr:uid="{00000000-0005-0000-0000-0000BC320000}"/>
    <cellStyle name="40% - Accent2 13 2 3 3 3" xfId="22704" xr:uid="{00000000-0005-0000-0000-0000BD320000}"/>
    <cellStyle name="40% - Accent2 13 2 3 4" xfId="11221" xr:uid="{00000000-0005-0000-0000-0000BE320000}"/>
    <cellStyle name="40% - Accent2 13 2 3 5" xfId="19176" xr:uid="{00000000-0005-0000-0000-0000BF32000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3" xfId="23583" xr:uid="{00000000-0005-0000-0000-0000C4320000}"/>
    <cellStyle name="40% - Accent2 13 2 4 3" xfId="12099" xr:uid="{00000000-0005-0000-0000-0000C5320000}"/>
    <cellStyle name="40% - Accent2 13 2 4 4" xfId="20054" xr:uid="{00000000-0005-0000-0000-0000C6320000}"/>
    <cellStyle name="40% - Accent2 13 2 5" xfId="5894" xr:uid="{00000000-0005-0000-0000-0000C7320000}"/>
    <cellStyle name="40% - Accent2 13 2 5 2" xfId="13878" xr:uid="{00000000-0005-0000-0000-0000C8320000}"/>
    <cellStyle name="40% - Accent2 13 2 5 3" xfId="21826" xr:uid="{00000000-0005-0000-0000-0000C9320000}"/>
    <cellStyle name="40% - Accent2 13 2 6" xfId="9447" xr:uid="{00000000-0005-0000-0000-0000CA320000}"/>
    <cellStyle name="40% - Accent2 13 2 6 2" xfId="17405" xr:uid="{00000000-0005-0000-0000-0000CB320000}"/>
    <cellStyle name="40% - Accent2 13 2 6 3" xfId="25349" xr:uid="{00000000-0005-0000-0000-0000CC320000}"/>
    <cellStyle name="40% - Accent2 13 2 7" xfId="10343" xr:uid="{00000000-0005-0000-0000-0000CD320000}"/>
    <cellStyle name="40% - Accent2 13 2 8" xfId="18298" xr:uid="{00000000-0005-0000-0000-0000CE320000}"/>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3" xfId="24463" xr:uid="{00000000-0005-0000-0000-0000D5320000}"/>
    <cellStyle name="40% - Accent2 13 3 2 2 3" xfId="12979" xr:uid="{00000000-0005-0000-0000-0000D6320000}"/>
    <cellStyle name="40% - Accent2 13 3 2 2 4" xfId="20934" xr:uid="{00000000-0005-0000-0000-0000D7320000}"/>
    <cellStyle name="40% - Accent2 13 3 2 3" xfId="6787" xr:uid="{00000000-0005-0000-0000-0000D8320000}"/>
    <cellStyle name="40% - Accent2 13 3 2 3 2" xfId="14759" xr:uid="{00000000-0005-0000-0000-0000D9320000}"/>
    <cellStyle name="40% - Accent2 13 3 2 3 3" xfId="22706" xr:uid="{00000000-0005-0000-0000-0000DA320000}"/>
    <cellStyle name="40% - Accent2 13 3 2 4" xfId="11223" xr:uid="{00000000-0005-0000-0000-0000DB320000}"/>
    <cellStyle name="40% - Accent2 13 3 2 5" xfId="19178" xr:uid="{00000000-0005-0000-0000-0000DC320000}"/>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3" xfId="23585" xr:uid="{00000000-0005-0000-0000-0000E1320000}"/>
    <cellStyle name="40% - Accent2 13 3 3 3" xfId="12101" xr:uid="{00000000-0005-0000-0000-0000E2320000}"/>
    <cellStyle name="40% - Accent2 13 3 3 4" xfId="20056" xr:uid="{00000000-0005-0000-0000-0000E3320000}"/>
    <cellStyle name="40% - Accent2 13 3 4" xfId="5896" xr:uid="{00000000-0005-0000-0000-0000E4320000}"/>
    <cellStyle name="40% - Accent2 13 3 4 2" xfId="13880" xr:uid="{00000000-0005-0000-0000-0000E5320000}"/>
    <cellStyle name="40% - Accent2 13 3 4 3" xfId="21828" xr:uid="{00000000-0005-0000-0000-0000E6320000}"/>
    <cellStyle name="40% - Accent2 13 3 5" xfId="9449" xr:uid="{00000000-0005-0000-0000-0000E7320000}"/>
    <cellStyle name="40% - Accent2 13 3 5 2" xfId="17407" xr:uid="{00000000-0005-0000-0000-0000E8320000}"/>
    <cellStyle name="40% - Accent2 13 3 5 3" xfId="25351" xr:uid="{00000000-0005-0000-0000-0000E9320000}"/>
    <cellStyle name="40% - Accent2 13 3 6" xfId="10345" xr:uid="{00000000-0005-0000-0000-0000EA320000}"/>
    <cellStyle name="40% - Accent2 13 3 7" xfId="18300" xr:uid="{00000000-0005-0000-0000-0000EB320000}"/>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3" xfId="24460" xr:uid="{00000000-0005-0000-0000-0000F1320000}"/>
    <cellStyle name="40% - Accent2 13 4 2 3" xfId="12976" xr:uid="{00000000-0005-0000-0000-0000F2320000}"/>
    <cellStyle name="40% - Accent2 13 4 2 4" xfId="20931" xr:uid="{00000000-0005-0000-0000-0000F3320000}"/>
    <cellStyle name="40% - Accent2 13 4 3" xfId="6784" xr:uid="{00000000-0005-0000-0000-0000F4320000}"/>
    <cellStyle name="40% - Accent2 13 4 3 2" xfId="14756" xr:uid="{00000000-0005-0000-0000-0000F5320000}"/>
    <cellStyle name="40% - Accent2 13 4 3 3" xfId="22703" xr:uid="{00000000-0005-0000-0000-0000F6320000}"/>
    <cellStyle name="40% - Accent2 13 4 4" xfId="11220" xr:uid="{00000000-0005-0000-0000-0000F7320000}"/>
    <cellStyle name="40% - Accent2 13 4 5" xfId="19175" xr:uid="{00000000-0005-0000-0000-0000F8320000}"/>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3" xfId="23582" xr:uid="{00000000-0005-0000-0000-0000FD320000}"/>
    <cellStyle name="40% - Accent2 13 5 3" xfId="12098" xr:uid="{00000000-0005-0000-0000-0000FE320000}"/>
    <cellStyle name="40% - Accent2 13 5 4" xfId="20053" xr:uid="{00000000-0005-0000-0000-0000FF320000}"/>
    <cellStyle name="40% - Accent2 13 6" xfId="5893" xr:uid="{00000000-0005-0000-0000-000000330000}"/>
    <cellStyle name="40% - Accent2 13 6 2" xfId="13877" xr:uid="{00000000-0005-0000-0000-000001330000}"/>
    <cellStyle name="40% - Accent2 13 6 3" xfId="21825" xr:uid="{00000000-0005-0000-0000-000002330000}"/>
    <cellStyle name="40% - Accent2 13 7" xfId="9446" xr:uid="{00000000-0005-0000-0000-000003330000}"/>
    <cellStyle name="40% - Accent2 13 7 2" xfId="17404" xr:uid="{00000000-0005-0000-0000-000004330000}"/>
    <cellStyle name="40% - Accent2 13 7 3" xfId="25348" xr:uid="{00000000-0005-0000-0000-000005330000}"/>
    <cellStyle name="40% - Accent2 13 8" xfId="10342" xr:uid="{00000000-0005-0000-0000-000006330000}"/>
    <cellStyle name="40% - Accent2 13 9" xfId="18297" xr:uid="{00000000-0005-0000-0000-000007330000}"/>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3" xfId="24465" xr:uid="{00000000-0005-0000-0000-00000F330000}"/>
    <cellStyle name="40% - Accent2 14 2 2 2 3" xfId="12981" xr:uid="{00000000-0005-0000-0000-000010330000}"/>
    <cellStyle name="40% - Accent2 14 2 2 2 4" xfId="20936" xr:uid="{00000000-0005-0000-0000-000011330000}"/>
    <cellStyle name="40% - Accent2 14 2 2 3" xfId="6789" xr:uid="{00000000-0005-0000-0000-000012330000}"/>
    <cellStyle name="40% - Accent2 14 2 2 3 2" xfId="14761" xr:uid="{00000000-0005-0000-0000-000013330000}"/>
    <cellStyle name="40% - Accent2 14 2 2 3 3" xfId="22708" xr:uid="{00000000-0005-0000-0000-000014330000}"/>
    <cellStyle name="40% - Accent2 14 2 2 4" xfId="11225" xr:uid="{00000000-0005-0000-0000-000015330000}"/>
    <cellStyle name="40% - Accent2 14 2 2 5" xfId="19180" xr:uid="{00000000-0005-0000-0000-000016330000}"/>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3" xfId="23587" xr:uid="{00000000-0005-0000-0000-00001B330000}"/>
    <cellStyle name="40% - Accent2 14 2 3 3" xfId="12103" xr:uid="{00000000-0005-0000-0000-00001C330000}"/>
    <cellStyle name="40% - Accent2 14 2 3 4" xfId="20058" xr:uid="{00000000-0005-0000-0000-00001D330000}"/>
    <cellStyle name="40% - Accent2 14 2 4" xfId="5898" xr:uid="{00000000-0005-0000-0000-00001E330000}"/>
    <cellStyle name="40% - Accent2 14 2 4 2" xfId="13882" xr:uid="{00000000-0005-0000-0000-00001F330000}"/>
    <cellStyle name="40% - Accent2 14 2 4 3" xfId="21830" xr:uid="{00000000-0005-0000-0000-000020330000}"/>
    <cellStyle name="40% - Accent2 14 2 5" xfId="9451" xr:uid="{00000000-0005-0000-0000-000021330000}"/>
    <cellStyle name="40% - Accent2 14 2 5 2" xfId="17409" xr:uid="{00000000-0005-0000-0000-000022330000}"/>
    <cellStyle name="40% - Accent2 14 2 5 3" xfId="25353" xr:uid="{00000000-0005-0000-0000-000023330000}"/>
    <cellStyle name="40% - Accent2 14 2 6" xfId="10347" xr:uid="{00000000-0005-0000-0000-000024330000}"/>
    <cellStyle name="40% - Accent2 14 2 7" xfId="18302" xr:uid="{00000000-0005-0000-0000-000025330000}"/>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3" xfId="24464" xr:uid="{00000000-0005-0000-0000-00002B330000}"/>
    <cellStyle name="40% - Accent2 14 3 2 3" xfId="12980" xr:uid="{00000000-0005-0000-0000-00002C330000}"/>
    <cellStyle name="40% - Accent2 14 3 2 4" xfId="20935" xr:uid="{00000000-0005-0000-0000-00002D330000}"/>
    <cellStyle name="40% - Accent2 14 3 3" xfId="6788" xr:uid="{00000000-0005-0000-0000-00002E330000}"/>
    <cellStyle name="40% - Accent2 14 3 3 2" xfId="14760" xr:uid="{00000000-0005-0000-0000-00002F330000}"/>
    <cellStyle name="40% - Accent2 14 3 3 3" xfId="22707" xr:uid="{00000000-0005-0000-0000-000030330000}"/>
    <cellStyle name="40% - Accent2 14 3 4" xfId="11224" xr:uid="{00000000-0005-0000-0000-000031330000}"/>
    <cellStyle name="40% - Accent2 14 3 5" xfId="19179" xr:uid="{00000000-0005-0000-0000-000032330000}"/>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3" xfId="23586" xr:uid="{00000000-0005-0000-0000-000037330000}"/>
    <cellStyle name="40% - Accent2 14 4 3" xfId="12102" xr:uid="{00000000-0005-0000-0000-000038330000}"/>
    <cellStyle name="40% - Accent2 14 4 4" xfId="20057" xr:uid="{00000000-0005-0000-0000-000039330000}"/>
    <cellStyle name="40% - Accent2 14 5" xfId="5897" xr:uid="{00000000-0005-0000-0000-00003A330000}"/>
    <cellStyle name="40% - Accent2 14 5 2" xfId="13881" xr:uid="{00000000-0005-0000-0000-00003B330000}"/>
    <cellStyle name="40% - Accent2 14 5 3" xfId="21829" xr:uid="{00000000-0005-0000-0000-00003C330000}"/>
    <cellStyle name="40% - Accent2 14 6" xfId="9450" xr:uid="{00000000-0005-0000-0000-00003D330000}"/>
    <cellStyle name="40% - Accent2 14 6 2" xfId="17408" xr:uid="{00000000-0005-0000-0000-00003E330000}"/>
    <cellStyle name="40% - Accent2 14 6 3" xfId="25352" xr:uid="{00000000-0005-0000-0000-00003F330000}"/>
    <cellStyle name="40% - Accent2 14 7" xfId="10346" xr:uid="{00000000-0005-0000-0000-000040330000}"/>
    <cellStyle name="40% - Accent2 14 8" xfId="18301" xr:uid="{00000000-0005-0000-0000-000041330000}"/>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3" xfId="24466" xr:uid="{00000000-0005-0000-0000-000048330000}"/>
    <cellStyle name="40% - Accent2 15 2 2 3" xfId="12982" xr:uid="{00000000-0005-0000-0000-000049330000}"/>
    <cellStyle name="40% - Accent2 15 2 2 4" xfId="20937" xr:uid="{00000000-0005-0000-0000-00004A330000}"/>
    <cellStyle name="40% - Accent2 15 2 3" xfId="6790" xr:uid="{00000000-0005-0000-0000-00004B330000}"/>
    <cellStyle name="40% - Accent2 15 2 3 2" xfId="14762" xr:uid="{00000000-0005-0000-0000-00004C330000}"/>
    <cellStyle name="40% - Accent2 15 2 3 3" xfId="22709" xr:uid="{00000000-0005-0000-0000-00004D330000}"/>
    <cellStyle name="40% - Accent2 15 2 4" xfId="11226" xr:uid="{00000000-0005-0000-0000-00004E330000}"/>
    <cellStyle name="40% - Accent2 15 2 5" xfId="19181" xr:uid="{00000000-0005-0000-0000-00004F330000}"/>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3" xfId="23588" xr:uid="{00000000-0005-0000-0000-000054330000}"/>
    <cellStyle name="40% - Accent2 15 3 3" xfId="12104" xr:uid="{00000000-0005-0000-0000-000055330000}"/>
    <cellStyle name="40% - Accent2 15 3 4" xfId="20059" xr:uid="{00000000-0005-0000-0000-000056330000}"/>
    <cellStyle name="40% - Accent2 15 4" xfId="5899" xr:uid="{00000000-0005-0000-0000-000057330000}"/>
    <cellStyle name="40% - Accent2 15 4 2" xfId="13883" xr:uid="{00000000-0005-0000-0000-000058330000}"/>
    <cellStyle name="40% - Accent2 15 4 3" xfId="21831" xr:uid="{00000000-0005-0000-0000-000059330000}"/>
    <cellStyle name="40% - Accent2 15 5" xfId="9452" xr:uid="{00000000-0005-0000-0000-00005A330000}"/>
    <cellStyle name="40% - Accent2 15 5 2" xfId="17410" xr:uid="{00000000-0005-0000-0000-00005B330000}"/>
    <cellStyle name="40% - Accent2 15 5 3" xfId="25354" xr:uid="{00000000-0005-0000-0000-00005C330000}"/>
    <cellStyle name="40% - Accent2 15 6" xfId="10348" xr:uid="{00000000-0005-0000-0000-00005D330000}"/>
    <cellStyle name="40% - Accent2 15 7" xfId="18303" xr:uid="{00000000-0005-0000-0000-00005E330000}"/>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3" xfId="24818" xr:uid="{00000000-0005-0000-0000-000065330000}"/>
    <cellStyle name="40% - Accent2 16 2 2 3" xfId="13334" xr:uid="{00000000-0005-0000-0000-000066330000}"/>
    <cellStyle name="40% - Accent2 16 2 2 4" xfId="21289" xr:uid="{00000000-0005-0000-0000-000067330000}"/>
    <cellStyle name="40% - Accent2 16 2 3" xfId="7142" xr:uid="{00000000-0005-0000-0000-000068330000}"/>
    <cellStyle name="40% - Accent2 16 2 3 2" xfId="15114" xr:uid="{00000000-0005-0000-0000-000069330000}"/>
    <cellStyle name="40% - Accent2 16 2 3 3" xfId="23061" xr:uid="{00000000-0005-0000-0000-00006A330000}"/>
    <cellStyle name="40% - Accent2 16 2 4" xfId="11578" xr:uid="{00000000-0005-0000-0000-00006B330000}"/>
    <cellStyle name="40% - Accent2 16 2 5" xfId="19533" xr:uid="{00000000-0005-0000-0000-00006C330000}"/>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3" xfId="23940" xr:uid="{00000000-0005-0000-0000-000071330000}"/>
    <cellStyle name="40% - Accent2 16 3 3" xfId="12456" xr:uid="{00000000-0005-0000-0000-000072330000}"/>
    <cellStyle name="40% - Accent2 16 3 4" xfId="20411" xr:uid="{00000000-0005-0000-0000-000073330000}"/>
    <cellStyle name="40% - Accent2 16 4" xfId="6261" xr:uid="{00000000-0005-0000-0000-000074330000}"/>
    <cellStyle name="40% - Accent2 16 4 2" xfId="14236" xr:uid="{00000000-0005-0000-0000-000075330000}"/>
    <cellStyle name="40% - Accent2 16 4 3" xfId="22183" xr:uid="{00000000-0005-0000-0000-000076330000}"/>
    <cellStyle name="40% - Accent2 16 5" xfId="9804" xr:uid="{00000000-0005-0000-0000-000077330000}"/>
    <cellStyle name="40% - Accent2 16 5 2" xfId="17762" xr:uid="{00000000-0005-0000-0000-000078330000}"/>
    <cellStyle name="40% - Accent2 16 5 3" xfId="25706" xr:uid="{00000000-0005-0000-0000-000079330000}"/>
    <cellStyle name="40% - Accent2 16 6" xfId="10700" xr:uid="{00000000-0005-0000-0000-00007A330000}"/>
    <cellStyle name="40% - Accent2 16 7" xfId="18655" xr:uid="{00000000-0005-0000-0000-00007B330000}"/>
    <cellStyle name="40% - Accent2 16_Exh G" xfId="2847" xr:uid="{00000000-0005-0000-0000-00007C330000}"/>
    <cellStyle name="40% - Accent2 2" xfId="401" xr:uid="{00000000-0005-0000-0000-00007D330000}"/>
    <cellStyle name="40% - Accent2 2 10" xfId="18304" xr:uid="{00000000-0005-0000-0000-00007E330000}"/>
    <cellStyle name="40% - Accent2 2 2" xfId="402" xr:uid="{00000000-0005-0000-0000-00007F3300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3" xfId="24469" xr:uid="{00000000-0005-0000-0000-000085330000}"/>
    <cellStyle name="40% - Accent2 2 2 2 2 2 3" xfId="12985" xr:uid="{00000000-0005-0000-0000-000086330000}"/>
    <cellStyle name="40% - Accent2 2 2 2 2 2 4" xfId="20940" xr:uid="{00000000-0005-0000-0000-000087330000}"/>
    <cellStyle name="40% - Accent2 2 2 2 2 3" xfId="6793" xr:uid="{00000000-0005-0000-0000-000088330000}"/>
    <cellStyle name="40% - Accent2 2 2 2 2 3 2" xfId="14765" xr:uid="{00000000-0005-0000-0000-000089330000}"/>
    <cellStyle name="40% - Accent2 2 2 2 2 3 3" xfId="22712" xr:uid="{00000000-0005-0000-0000-00008A330000}"/>
    <cellStyle name="40% - Accent2 2 2 2 2 4" xfId="11229" xr:uid="{00000000-0005-0000-0000-00008B330000}"/>
    <cellStyle name="40% - Accent2 2 2 2 2 5" xfId="19184" xr:uid="{00000000-0005-0000-0000-00008C330000}"/>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3" xfId="23591" xr:uid="{00000000-0005-0000-0000-000091330000}"/>
    <cellStyle name="40% - Accent2 2 2 2 3 3" xfId="12107" xr:uid="{00000000-0005-0000-0000-000092330000}"/>
    <cellStyle name="40% - Accent2 2 2 2 3 4" xfId="20062" xr:uid="{00000000-0005-0000-0000-000093330000}"/>
    <cellStyle name="40% - Accent2 2 2 2 4" xfId="5902" xr:uid="{00000000-0005-0000-0000-000094330000}"/>
    <cellStyle name="40% - Accent2 2 2 2 4 2" xfId="13886" xr:uid="{00000000-0005-0000-0000-000095330000}"/>
    <cellStyle name="40% - Accent2 2 2 2 4 3" xfId="21834" xr:uid="{00000000-0005-0000-0000-000096330000}"/>
    <cellStyle name="40% - Accent2 2 2 2 5" xfId="9455" xr:uid="{00000000-0005-0000-0000-000097330000}"/>
    <cellStyle name="40% - Accent2 2 2 2 5 2" xfId="17413" xr:uid="{00000000-0005-0000-0000-000098330000}"/>
    <cellStyle name="40% - Accent2 2 2 2 5 3" xfId="25357" xr:uid="{00000000-0005-0000-0000-000099330000}"/>
    <cellStyle name="40% - Accent2 2 2 2 6" xfId="10351" xr:uid="{00000000-0005-0000-0000-00009A330000}"/>
    <cellStyle name="40% - Accent2 2 2 2 7" xfId="18306" xr:uid="{00000000-0005-0000-0000-00009B330000}"/>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3" xfId="24896" xr:uid="{00000000-0005-0000-0000-0000A2330000}"/>
    <cellStyle name="40% - Accent2 2 2 3 2 2 3" xfId="13412" xr:uid="{00000000-0005-0000-0000-0000A3330000}"/>
    <cellStyle name="40% - Accent2 2 2 3 2 2 4" xfId="21367" xr:uid="{00000000-0005-0000-0000-0000A4330000}"/>
    <cellStyle name="40% - Accent2 2 2 3 2 3" xfId="7220" xr:uid="{00000000-0005-0000-0000-0000A5330000}"/>
    <cellStyle name="40% - Accent2 2 2 3 2 3 2" xfId="15192" xr:uid="{00000000-0005-0000-0000-0000A6330000}"/>
    <cellStyle name="40% - Accent2 2 2 3 2 3 3" xfId="23139" xr:uid="{00000000-0005-0000-0000-0000A7330000}"/>
    <cellStyle name="40% - Accent2 2 2 3 2 4" xfId="11656" xr:uid="{00000000-0005-0000-0000-0000A8330000}"/>
    <cellStyle name="40% - Accent2 2 2 3 2 5" xfId="19611" xr:uid="{00000000-0005-0000-0000-0000A9330000}"/>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3" xfId="24018" xr:uid="{00000000-0005-0000-0000-0000AE330000}"/>
    <cellStyle name="40% - Accent2 2 2 3 3 3" xfId="12534" xr:uid="{00000000-0005-0000-0000-0000AF330000}"/>
    <cellStyle name="40% - Accent2 2 2 3 3 4" xfId="20489" xr:uid="{00000000-0005-0000-0000-0000B0330000}"/>
    <cellStyle name="40% - Accent2 2 2 3 4" xfId="6339" xr:uid="{00000000-0005-0000-0000-0000B1330000}"/>
    <cellStyle name="40% - Accent2 2 2 3 4 2" xfId="14314" xr:uid="{00000000-0005-0000-0000-0000B2330000}"/>
    <cellStyle name="40% - Accent2 2 2 3 4 3" xfId="22261" xr:uid="{00000000-0005-0000-0000-0000B3330000}"/>
    <cellStyle name="40% - Accent2 2 2 3 5" xfId="9882" xr:uid="{00000000-0005-0000-0000-0000B4330000}"/>
    <cellStyle name="40% - Accent2 2 2 3 5 2" xfId="17840" xr:uid="{00000000-0005-0000-0000-0000B5330000}"/>
    <cellStyle name="40% - Accent2 2 2 3 5 3" xfId="25784" xr:uid="{00000000-0005-0000-0000-0000B6330000}"/>
    <cellStyle name="40% - Accent2 2 2 3 6" xfId="10778" xr:uid="{00000000-0005-0000-0000-0000B7330000}"/>
    <cellStyle name="40% - Accent2 2 2 3 7" xfId="18733" xr:uid="{00000000-0005-0000-0000-0000B8330000}"/>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3" xfId="24468" xr:uid="{00000000-0005-0000-0000-0000BE330000}"/>
    <cellStyle name="40% - Accent2 2 2 4 2 3" xfId="12984" xr:uid="{00000000-0005-0000-0000-0000BF330000}"/>
    <cellStyle name="40% - Accent2 2 2 4 2 4" xfId="20939" xr:uid="{00000000-0005-0000-0000-0000C0330000}"/>
    <cellStyle name="40% - Accent2 2 2 4 3" xfId="6792" xr:uid="{00000000-0005-0000-0000-0000C1330000}"/>
    <cellStyle name="40% - Accent2 2 2 4 3 2" xfId="14764" xr:uid="{00000000-0005-0000-0000-0000C2330000}"/>
    <cellStyle name="40% - Accent2 2 2 4 3 3" xfId="22711" xr:uid="{00000000-0005-0000-0000-0000C3330000}"/>
    <cellStyle name="40% - Accent2 2 2 4 4" xfId="11228" xr:uid="{00000000-0005-0000-0000-0000C4330000}"/>
    <cellStyle name="40% - Accent2 2 2 4 5" xfId="19183" xr:uid="{00000000-0005-0000-0000-0000C5330000}"/>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3" xfId="23590" xr:uid="{00000000-0005-0000-0000-0000CA330000}"/>
    <cellStyle name="40% - Accent2 2 2 5 3" xfId="12106" xr:uid="{00000000-0005-0000-0000-0000CB330000}"/>
    <cellStyle name="40% - Accent2 2 2 5 4" xfId="20061" xr:uid="{00000000-0005-0000-0000-0000CC330000}"/>
    <cellStyle name="40% - Accent2 2 2 6" xfId="5901" xr:uid="{00000000-0005-0000-0000-0000CD330000}"/>
    <cellStyle name="40% - Accent2 2 2 6 2" xfId="13885" xr:uid="{00000000-0005-0000-0000-0000CE330000}"/>
    <cellStyle name="40% - Accent2 2 2 6 3" xfId="21833" xr:uid="{00000000-0005-0000-0000-0000CF330000}"/>
    <cellStyle name="40% - Accent2 2 2 7" xfId="9454" xr:uid="{00000000-0005-0000-0000-0000D0330000}"/>
    <cellStyle name="40% - Accent2 2 2 7 2" xfId="17412" xr:uid="{00000000-0005-0000-0000-0000D1330000}"/>
    <cellStyle name="40% - Accent2 2 2 7 3" xfId="25356" xr:uid="{00000000-0005-0000-0000-0000D2330000}"/>
    <cellStyle name="40% - Accent2 2 2 8" xfId="10350" xr:uid="{00000000-0005-0000-0000-0000D3330000}"/>
    <cellStyle name="40% - Accent2 2 2 9" xfId="18305" xr:uid="{00000000-0005-0000-0000-0000D4330000}"/>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3" xfId="24470" xr:uid="{00000000-0005-0000-0000-0000DB330000}"/>
    <cellStyle name="40% - Accent2 2 3 2 2 3" xfId="12986" xr:uid="{00000000-0005-0000-0000-0000DC330000}"/>
    <cellStyle name="40% - Accent2 2 3 2 2 4" xfId="20941" xr:uid="{00000000-0005-0000-0000-0000DD330000}"/>
    <cellStyle name="40% - Accent2 2 3 2 3" xfId="6794" xr:uid="{00000000-0005-0000-0000-0000DE330000}"/>
    <cellStyle name="40% - Accent2 2 3 2 3 2" xfId="14766" xr:uid="{00000000-0005-0000-0000-0000DF330000}"/>
    <cellStyle name="40% - Accent2 2 3 2 3 3" xfId="22713" xr:uid="{00000000-0005-0000-0000-0000E0330000}"/>
    <cellStyle name="40% - Accent2 2 3 2 4" xfId="11230" xr:uid="{00000000-0005-0000-0000-0000E1330000}"/>
    <cellStyle name="40% - Accent2 2 3 2 5" xfId="19185" xr:uid="{00000000-0005-0000-0000-0000E2330000}"/>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3" xfId="23592" xr:uid="{00000000-0005-0000-0000-0000E7330000}"/>
    <cellStyle name="40% - Accent2 2 3 3 3" xfId="12108" xr:uid="{00000000-0005-0000-0000-0000E8330000}"/>
    <cellStyle name="40% - Accent2 2 3 3 4" xfId="20063" xr:uid="{00000000-0005-0000-0000-0000E9330000}"/>
    <cellStyle name="40% - Accent2 2 3 4" xfId="5903" xr:uid="{00000000-0005-0000-0000-0000EA330000}"/>
    <cellStyle name="40% - Accent2 2 3 4 2" xfId="13887" xr:uid="{00000000-0005-0000-0000-0000EB330000}"/>
    <cellStyle name="40% - Accent2 2 3 4 3" xfId="21835" xr:uid="{00000000-0005-0000-0000-0000EC330000}"/>
    <cellStyle name="40% - Accent2 2 3 5" xfId="9456" xr:uid="{00000000-0005-0000-0000-0000ED330000}"/>
    <cellStyle name="40% - Accent2 2 3 5 2" xfId="17414" xr:uid="{00000000-0005-0000-0000-0000EE330000}"/>
    <cellStyle name="40% - Accent2 2 3 5 3" xfId="25358" xr:uid="{00000000-0005-0000-0000-0000EF330000}"/>
    <cellStyle name="40% - Accent2 2 3 6" xfId="10352" xr:uid="{00000000-0005-0000-0000-0000F0330000}"/>
    <cellStyle name="40% - Accent2 2 3 7" xfId="18307" xr:uid="{00000000-0005-0000-0000-0000F1330000}"/>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3" xfId="24895" xr:uid="{00000000-0005-0000-0000-0000F8330000}"/>
    <cellStyle name="40% - Accent2 2 4 2 2 3" xfId="13411" xr:uid="{00000000-0005-0000-0000-0000F9330000}"/>
    <cellStyle name="40% - Accent2 2 4 2 2 4" xfId="21366" xr:uid="{00000000-0005-0000-0000-0000FA330000}"/>
    <cellStyle name="40% - Accent2 2 4 2 3" xfId="7219" xr:uid="{00000000-0005-0000-0000-0000FB330000}"/>
    <cellStyle name="40% - Accent2 2 4 2 3 2" xfId="15191" xr:uid="{00000000-0005-0000-0000-0000FC330000}"/>
    <cellStyle name="40% - Accent2 2 4 2 3 3" xfId="23138" xr:uid="{00000000-0005-0000-0000-0000FD330000}"/>
    <cellStyle name="40% - Accent2 2 4 2 4" xfId="11655" xr:uid="{00000000-0005-0000-0000-0000FE330000}"/>
    <cellStyle name="40% - Accent2 2 4 2 5" xfId="19610" xr:uid="{00000000-0005-0000-0000-0000FF330000}"/>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3" xfId="24017" xr:uid="{00000000-0005-0000-0000-000004340000}"/>
    <cellStyle name="40% - Accent2 2 4 3 3" xfId="12533" xr:uid="{00000000-0005-0000-0000-000005340000}"/>
    <cellStyle name="40% - Accent2 2 4 3 4" xfId="20488" xr:uid="{00000000-0005-0000-0000-000006340000}"/>
    <cellStyle name="40% - Accent2 2 4 4" xfId="6338" xr:uid="{00000000-0005-0000-0000-000007340000}"/>
    <cellStyle name="40% - Accent2 2 4 4 2" xfId="14313" xr:uid="{00000000-0005-0000-0000-000008340000}"/>
    <cellStyle name="40% - Accent2 2 4 4 3" xfId="22260" xr:uid="{00000000-0005-0000-0000-000009340000}"/>
    <cellStyle name="40% - Accent2 2 4 5" xfId="9881" xr:uid="{00000000-0005-0000-0000-00000A340000}"/>
    <cellStyle name="40% - Accent2 2 4 5 2" xfId="17839" xr:uid="{00000000-0005-0000-0000-00000B340000}"/>
    <cellStyle name="40% - Accent2 2 4 5 3" xfId="25783" xr:uid="{00000000-0005-0000-0000-00000C340000}"/>
    <cellStyle name="40% - Accent2 2 4 6" xfId="10777" xr:uid="{00000000-0005-0000-0000-00000D340000}"/>
    <cellStyle name="40% - Accent2 2 4 7" xfId="18732" xr:uid="{00000000-0005-0000-0000-00000E340000}"/>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3" xfId="24467" xr:uid="{00000000-0005-0000-0000-000014340000}"/>
    <cellStyle name="40% - Accent2 2 5 2 3" xfId="12983" xr:uid="{00000000-0005-0000-0000-000015340000}"/>
    <cellStyle name="40% - Accent2 2 5 2 4" xfId="20938" xr:uid="{00000000-0005-0000-0000-000016340000}"/>
    <cellStyle name="40% - Accent2 2 5 3" xfId="6791" xr:uid="{00000000-0005-0000-0000-000017340000}"/>
    <cellStyle name="40% - Accent2 2 5 3 2" xfId="14763" xr:uid="{00000000-0005-0000-0000-000018340000}"/>
    <cellStyle name="40% - Accent2 2 5 3 3" xfId="22710" xr:uid="{00000000-0005-0000-0000-000019340000}"/>
    <cellStyle name="40% - Accent2 2 5 4" xfId="11227" xr:uid="{00000000-0005-0000-0000-00001A340000}"/>
    <cellStyle name="40% - Accent2 2 5 5" xfId="19182" xr:uid="{00000000-0005-0000-0000-00001B340000}"/>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3" xfId="23589" xr:uid="{00000000-0005-0000-0000-000020340000}"/>
    <cellStyle name="40% - Accent2 2 6 3" xfId="12105" xr:uid="{00000000-0005-0000-0000-000021340000}"/>
    <cellStyle name="40% - Accent2 2 6 4" xfId="20060" xr:uid="{00000000-0005-0000-0000-000022340000}"/>
    <cellStyle name="40% - Accent2 2 7" xfId="5900" xr:uid="{00000000-0005-0000-0000-000023340000}"/>
    <cellStyle name="40% - Accent2 2 7 2" xfId="13884" xr:uid="{00000000-0005-0000-0000-000024340000}"/>
    <cellStyle name="40% - Accent2 2 7 3" xfId="21832" xr:uid="{00000000-0005-0000-0000-000025340000}"/>
    <cellStyle name="40% - Accent2 2 8" xfId="9453" xr:uid="{00000000-0005-0000-0000-000026340000}"/>
    <cellStyle name="40% - Accent2 2 8 2" xfId="17411" xr:uid="{00000000-0005-0000-0000-000027340000}"/>
    <cellStyle name="40% - Accent2 2 8 3" xfId="25355" xr:uid="{00000000-0005-0000-0000-000028340000}"/>
    <cellStyle name="40% - Accent2 2 9" xfId="10349" xr:uid="{00000000-0005-0000-0000-000029340000}"/>
    <cellStyle name="40% - Accent2 2_Exh G" xfId="2849" xr:uid="{00000000-0005-0000-0000-00002A340000}"/>
    <cellStyle name="40% - Accent2 3" xfId="405" xr:uid="{00000000-0005-0000-0000-00002B340000}"/>
    <cellStyle name="40% - Accent2 3 10" xfId="18308" xr:uid="{00000000-0005-0000-0000-00002C340000}"/>
    <cellStyle name="40% - Accent2 3 2" xfId="406" xr:uid="{00000000-0005-0000-0000-00002D340000}"/>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3" xfId="24473" xr:uid="{00000000-0005-0000-0000-000033340000}"/>
    <cellStyle name="40% - Accent2 3 2 2 2 2 3" xfId="12989" xr:uid="{00000000-0005-0000-0000-000034340000}"/>
    <cellStyle name="40% - Accent2 3 2 2 2 2 4" xfId="20944" xr:uid="{00000000-0005-0000-0000-000035340000}"/>
    <cellStyle name="40% - Accent2 3 2 2 2 3" xfId="6797" xr:uid="{00000000-0005-0000-0000-000036340000}"/>
    <cellStyle name="40% - Accent2 3 2 2 2 3 2" xfId="14769" xr:uid="{00000000-0005-0000-0000-000037340000}"/>
    <cellStyle name="40% - Accent2 3 2 2 2 3 3" xfId="22716" xr:uid="{00000000-0005-0000-0000-000038340000}"/>
    <cellStyle name="40% - Accent2 3 2 2 2 4" xfId="11233" xr:uid="{00000000-0005-0000-0000-000039340000}"/>
    <cellStyle name="40% - Accent2 3 2 2 2 5" xfId="19188" xr:uid="{00000000-0005-0000-0000-00003A340000}"/>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3" xfId="23595" xr:uid="{00000000-0005-0000-0000-00003F340000}"/>
    <cellStyle name="40% - Accent2 3 2 2 3 3" xfId="12111" xr:uid="{00000000-0005-0000-0000-000040340000}"/>
    <cellStyle name="40% - Accent2 3 2 2 3 4" xfId="20066" xr:uid="{00000000-0005-0000-0000-000041340000}"/>
    <cellStyle name="40% - Accent2 3 2 2 4" xfId="5906" xr:uid="{00000000-0005-0000-0000-000042340000}"/>
    <cellStyle name="40% - Accent2 3 2 2 4 2" xfId="13890" xr:uid="{00000000-0005-0000-0000-000043340000}"/>
    <cellStyle name="40% - Accent2 3 2 2 4 3" xfId="21838" xr:uid="{00000000-0005-0000-0000-000044340000}"/>
    <cellStyle name="40% - Accent2 3 2 2 5" xfId="9459" xr:uid="{00000000-0005-0000-0000-000045340000}"/>
    <cellStyle name="40% - Accent2 3 2 2 5 2" xfId="17417" xr:uid="{00000000-0005-0000-0000-000046340000}"/>
    <cellStyle name="40% - Accent2 3 2 2 5 3" xfId="25361" xr:uid="{00000000-0005-0000-0000-000047340000}"/>
    <cellStyle name="40% - Accent2 3 2 2 6" xfId="10355" xr:uid="{00000000-0005-0000-0000-000048340000}"/>
    <cellStyle name="40% - Accent2 3 2 2 7" xfId="18310" xr:uid="{00000000-0005-0000-0000-00004934000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3" xfId="24898" xr:uid="{00000000-0005-0000-0000-000050340000}"/>
    <cellStyle name="40% - Accent2 3 2 3 2 2 3" xfId="13414" xr:uid="{00000000-0005-0000-0000-000051340000}"/>
    <cellStyle name="40% - Accent2 3 2 3 2 2 4" xfId="21369" xr:uid="{00000000-0005-0000-0000-000052340000}"/>
    <cellStyle name="40% - Accent2 3 2 3 2 3" xfId="7222" xr:uid="{00000000-0005-0000-0000-000053340000}"/>
    <cellStyle name="40% - Accent2 3 2 3 2 3 2" xfId="15194" xr:uid="{00000000-0005-0000-0000-000054340000}"/>
    <cellStyle name="40% - Accent2 3 2 3 2 3 3" xfId="23141" xr:uid="{00000000-0005-0000-0000-000055340000}"/>
    <cellStyle name="40% - Accent2 3 2 3 2 4" xfId="11658" xr:uid="{00000000-0005-0000-0000-000056340000}"/>
    <cellStyle name="40% - Accent2 3 2 3 2 5" xfId="19613" xr:uid="{00000000-0005-0000-0000-000057340000}"/>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3" xfId="24020" xr:uid="{00000000-0005-0000-0000-00005C340000}"/>
    <cellStyle name="40% - Accent2 3 2 3 3 3" xfId="12536" xr:uid="{00000000-0005-0000-0000-00005D340000}"/>
    <cellStyle name="40% - Accent2 3 2 3 3 4" xfId="20491" xr:uid="{00000000-0005-0000-0000-00005E340000}"/>
    <cellStyle name="40% - Accent2 3 2 3 4" xfId="6341" xr:uid="{00000000-0005-0000-0000-00005F340000}"/>
    <cellStyle name="40% - Accent2 3 2 3 4 2" xfId="14316" xr:uid="{00000000-0005-0000-0000-000060340000}"/>
    <cellStyle name="40% - Accent2 3 2 3 4 3" xfId="22263" xr:uid="{00000000-0005-0000-0000-000061340000}"/>
    <cellStyle name="40% - Accent2 3 2 3 5" xfId="9884" xr:uid="{00000000-0005-0000-0000-000062340000}"/>
    <cellStyle name="40% - Accent2 3 2 3 5 2" xfId="17842" xr:uid="{00000000-0005-0000-0000-000063340000}"/>
    <cellStyle name="40% - Accent2 3 2 3 5 3" xfId="25786" xr:uid="{00000000-0005-0000-0000-000064340000}"/>
    <cellStyle name="40% - Accent2 3 2 3 6" xfId="10780" xr:uid="{00000000-0005-0000-0000-000065340000}"/>
    <cellStyle name="40% - Accent2 3 2 3 7" xfId="18735" xr:uid="{00000000-0005-0000-0000-000066340000}"/>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3" xfId="24472" xr:uid="{00000000-0005-0000-0000-00006C340000}"/>
    <cellStyle name="40% - Accent2 3 2 4 2 3" xfId="12988" xr:uid="{00000000-0005-0000-0000-00006D340000}"/>
    <cellStyle name="40% - Accent2 3 2 4 2 4" xfId="20943" xr:uid="{00000000-0005-0000-0000-00006E340000}"/>
    <cellStyle name="40% - Accent2 3 2 4 3" xfId="6796" xr:uid="{00000000-0005-0000-0000-00006F340000}"/>
    <cellStyle name="40% - Accent2 3 2 4 3 2" xfId="14768" xr:uid="{00000000-0005-0000-0000-000070340000}"/>
    <cellStyle name="40% - Accent2 3 2 4 3 3" xfId="22715" xr:uid="{00000000-0005-0000-0000-000071340000}"/>
    <cellStyle name="40% - Accent2 3 2 4 4" xfId="11232" xr:uid="{00000000-0005-0000-0000-000072340000}"/>
    <cellStyle name="40% - Accent2 3 2 4 5" xfId="19187" xr:uid="{00000000-0005-0000-0000-000073340000}"/>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3" xfId="23594" xr:uid="{00000000-0005-0000-0000-000078340000}"/>
    <cellStyle name="40% - Accent2 3 2 5 3" xfId="12110" xr:uid="{00000000-0005-0000-0000-000079340000}"/>
    <cellStyle name="40% - Accent2 3 2 5 4" xfId="20065" xr:uid="{00000000-0005-0000-0000-00007A340000}"/>
    <cellStyle name="40% - Accent2 3 2 6" xfId="5905" xr:uid="{00000000-0005-0000-0000-00007B340000}"/>
    <cellStyle name="40% - Accent2 3 2 6 2" xfId="13889" xr:uid="{00000000-0005-0000-0000-00007C340000}"/>
    <cellStyle name="40% - Accent2 3 2 6 3" xfId="21837" xr:uid="{00000000-0005-0000-0000-00007D340000}"/>
    <cellStyle name="40% - Accent2 3 2 7" xfId="9458" xr:uid="{00000000-0005-0000-0000-00007E340000}"/>
    <cellStyle name="40% - Accent2 3 2 7 2" xfId="17416" xr:uid="{00000000-0005-0000-0000-00007F340000}"/>
    <cellStyle name="40% - Accent2 3 2 7 3" xfId="25360" xr:uid="{00000000-0005-0000-0000-000080340000}"/>
    <cellStyle name="40% - Accent2 3 2 8" xfId="10354" xr:uid="{00000000-0005-0000-0000-000081340000}"/>
    <cellStyle name="40% - Accent2 3 2 9" xfId="18309" xr:uid="{00000000-0005-0000-0000-000082340000}"/>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3" xfId="24474" xr:uid="{00000000-0005-0000-0000-000089340000}"/>
    <cellStyle name="40% - Accent2 3 3 2 2 3" xfId="12990" xr:uid="{00000000-0005-0000-0000-00008A340000}"/>
    <cellStyle name="40% - Accent2 3 3 2 2 4" xfId="20945" xr:uid="{00000000-0005-0000-0000-00008B340000}"/>
    <cellStyle name="40% - Accent2 3 3 2 3" xfId="6798" xr:uid="{00000000-0005-0000-0000-00008C340000}"/>
    <cellStyle name="40% - Accent2 3 3 2 3 2" xfId="14770" xr:uid="{00000000-0005-0000-0000-00008D340000}"/>
    <cellStyle name="40% - Accent2 3 3 2 3 3" xfId="22717" xr:uid="{00000000-0005-0000-0000-00008E340000}"/>
    <cellStyle name="40% - Accent2 3 3 2 4" xfId="11234" xr:uid="{00000000-0005-0000-0000-00008F340000}"/>
    <cellStyle name="40% - Accent2 3 3 2 5" xfId="19189" xr:uid="{00000000-0005-0000-0000-000090340000}"/>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3" xfId="23596" xr:uid="{00000000-0005-0000-0000-000095340000}"/>
    <cellStyle name="40% - Accent2 3 3 3 3" xfId="12112" xr:uid="{00000000-0005-0000-0000-000096340000}"/>
    <cellStyle name="40% - Accent2 3 3 3 4" xfId="20067" xr:uid="{00000000-0005-0000-0000-000097340000}"/>
    <cellStyle name="40% - Accent2 3 3 4" xfId="5907" xr:uid="{00000000-0005-0000-0000-000098340000}"/>
    <cellStyle name="40% - Accent2 3 3 4 2" xfId="13891" xr:uid="{00000000-0005-0000-0000-000099340000}"/>
    <cellStyle name="40% - Accent2 3 3 4 3" xfId="21839" xr:uid="{00000000-0005-0000-0000-00009A340000}"/>
    <cellStyle name="40% - Accent2 3 3 5" xfId="9460" xr:uid="{00000000-0005-0000-0000-00009B340000}"/>
    <cellStyle name="40% - Accent2 3 3 5 2" xfId="17418" xr:uid="{00000000-0005-0000-0000-00009C340000}"/>
    <cellStyle name="40% - Accent2 3 3 5 3" xfId="25362" xr:uid="{00000000-0005-0000-0000-00009D340000}"/>
    <cellStyle name="40% - Accent2 3 3 6" xfId="10356" xr:uid="{00000000-0005-0000-0000-00009E340000}"/>
    <cellStyle name="40% - Accent2 3 3 7" xfId="18311" xr:uid="{00000000-0005-0000-0000-00009F340000}"/>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3" xfId="24897" xr:uid="{00000000-0005-0000-0000-0000A6340000}"/>
    <cellStyle name="40% - Accent2 3 4 2 2 3" xfId="13413" xr:uid="{00000000-0005-0000-0000-0000A7340000}"/>
    <cellStyle name="40% - Accent2 3 4 2 2 4" xfId="21368" xr:uid="{00000000-0005-0000-0000-0000A8340000}"/>
    <cellStyle name="40% - Accent2 3 4 2 3" xfId="7221" xr:uid="{00000000-0005-0000-0000-0000A9340000}"/>
    <cellStyle name="40% - Accent2 3 4 2 3 2" xfId="15193" xr:uid="{00000000-0005-0000-0000-0000AA340000}"/>
    <cellStyle name="40% - Accent2 3 4 2 3 3" xfId="23140" xr:uid="{00000000-0005-0000-0000-0000AB340000}"/>
    <cellStyle name="40% - Accent2 3 4 2 4" xfId="11657" xr:uid="{00000000-0005-0000-0000-0000AC340000}"/>
    <cellStyle name="40% - Accent2 3 4 2 5" xfId="19612" xr:uid="{00000000-0005-0000-0000-0000AD340000}"/>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3" xfId="24019" xr:uid="{00000000-0005-0000-0000-0000B2340000}"/>
    <cellStyle name="40% - Accent2 3 4 3 3" xfId="12535" xr:uid="{00000000-0005-0000-0000-0000B3340000}"/>
    <cellStyle name="40% - Accent2 3 4 3 4" xfId="20490" xr:uid="{00000000-0005-0000-0000-0000B4340000}"/>
    <cellStyle name="40% - Accent2 3 4 4" xfId="6340" xr:uid="{00000000-0005-0000-0000-0000B5340000}"/>
    <cellStyle name="40% - Accent2 3 4 4 2" xfId="14315" xr:uid="{00000000-0005-0000-0000-0000B6340000}"/>
    <cellStyle name="40% - Accent2 3 4 4 3" xfId="22262" xr:uid="{00000000-0005-0000-0000-0000B7340000}"/>
    <cellStyle name="40% - Accent2 3 4 5" xfId="9883" xr:uid="{00000000-0005-0000-0000-0000B8340000}"/>
    <cellStyle name="40% - Accent2 3 4 5 2" xfId="17841" xr:uid="{00000000-0005-0000-0000-0000B9340000}"/>
    <cellStyle name="40% - Accent2 3 4 5 3" xfId="25785" xr:uid="{00000000-0005-0000-0000-0000BA340000}"/>
    <cellStyle name="40% - Accent2 3 4 6" xfId="10779" xr:uid="{00000000-0005-0000-0000-0000BB340000}"/>
    <cellStyle name="40% - Accent2 3 4 7" xfId="18734" xr:uid="{00000000-0005-0000-0000-0000BC340000}"/>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3" xfId="24471" xr:uid="{00000000-0005-0000-0000-0000C2340000}"/>
    <cellStyle name="40% - Accent2 3 5 2 3" xfId="12987" xr:uid="{00000000-0005-0000-0000-0000C3340000}"/>
    <cellStyle name="40% - Accent2 3 5 2 4" xfId="20942" xr:uid="{00000000-0005-0000-0000-0000C4340000}"/>
    <cellStyle name="40% - Accent2 3 5 3" xfId="6795" xr:uid="{00000000-0005-0000-0000-0000C5340000}"/>
    <cellStyle name="40% - Accent2 3 5 3 2" xfId="14767" xr:uid="{00000000-0005-0000-0000-0000C6340000}"/>
    <cellStyle name="40% - Accent2 3 5 3 3" xfId="22714" xr:uid="{00000000-0005-0000-0000-0000C7340000}"/>
    <cellStyle name="40% - Accent2 3 5 4" xfId="11231" xr:uid="{00000000-0005-0000-0000-0000C8340000}"/>
    <cellStyle name="40% - Accent2 3 5 5" xfId="19186" xr:uid="{00000000-0005-0000-0000-0000C9340000}"/>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3" xfId="23593" xr:uid="{00000000-0005-0000-0000-0000CE340000}"/>
    <cellStyle name="40% - Accent2 3 6 3" xfId="12109" xr:uid="{00000000-0005-0000-0000-0000CF340000}"/>
    <cellStyle name="40% - Accent2 3 6 4" xfId="20064" xr:uid="{00000000-0005-0000-0000-0000D0340000}"/>
    <cellStyle name="40% - Accent2 3 7" xfId="5904" xr:uid="{00000000-0005-0000-0000-0000D1340000}"/>
    <cellStyle name="40% - Accent2 3 7 2" xfId="13888" xr:uid="{00000000-0005-0000-0000-0000D2340000}"/>
    <cellStyle name="40% - Accent2 3 7 3" xfId="21836" xr:uid="{00000000-0005-0000-0000-0000D3340000}"/>
    <cellStyle name="40% - Accent2 3 8" xfId="9457" xr:uid="{00000000-0005-0000-0000-0000D4340000}"/>
    <cellStyle name="40% - Accent2 3 8 2" xfId="17415" xr:uid="{00000000-0005-0000-0000-0000D5340000}"/>
    <cellStyle name="40% - Accent2 3 8 3" xfId="25359" xr:uid="{00000000-0005-0000-0000-0000D6340000}"/>
    <cellStyle name="40% - Accent2 3 9" xfId="10353" xr:uid="{00000000-0005-0000-0000-0000D7340000}"/>
    <cellStyle name="40% - Accent2 3_Exh G" xfId="2861" xr:uid="{00000000-0005-0000-0000-0000D8340000}"/>
    <cellStyle name="40% - Accent2 4" xfId="409" xr:uid="{00000000-0005-0000-0000-0000D9340000}"/>
    <cellStyle name="40% - Accent2 4 10" xfId="18312" xr:uid="{00000000-0005-0000-0000-0000DA340000}"/>
    <cellStyle name="40% - Accent2 4 2" xfId="410" xr:uid="{00000000-0005-0000-0000-0000DB340000}"/>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3" xfId="24477" xr:uid="{00000000-0005-0000-0000-0000E1340000}"/>
    <cellStyle name="40% - Accent2 4 2 2 2 2 3" xfId="12993" xr:uid="{00000000-0005-0000-0000-0000E2340000}"/>
    <cellStyle name="40% - Accent2 4 2 2 2 2 4" xfId="20948" xr:uid="{00000000-0005-0000-0000-0000E3340000}"/>
    <cellStyle name="40% - Accent2 4 2 2 2 3" xfId="6801" xr:uid="{00000000-0005-0000-0000-0000E4340000}"/>
    <cellStyle name="40% - Accent2 4 2 2 2 3 2" xfId="14773" xr:uid="{00000000-0005-0000-0000-0000E5340000}"/>
    <cellStyle name="40% - Accent2 4 2 2 2 3 3" xfId="22720" xr:uid="{00000000-0005-0000-0000-0000E6340000}"/>
    <cellStyle name="40% - Accent2 4 2 2 2 4" xfId="11237" xr:uid="{00000000-0005-0000-0000-0000E7340000}"/>
    <cellStyle name="40% - Accent2 4 2 2 2 5" xfId="19192" xr:uid="{00000000-0005-0000-0000-0000E8340000}"/>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3" xfId="23599" xr:uid="{00000000-0005-0000-0000-0000ED340000}"/>
    <cellStyle name="40% - Accent2 4 2 2 3 3" xfId="12115" xr:uid="{00000000-0005-0000-0000-0000EE340000}"/>
    <cellStyle name="40% - Accent2 4 2 2 3 4" xfId="20070" xr:uid="{00000000-0005-0000-0000-0000EF340000}"/>
    <cellStyle name="40% - Accent2 4 2 2 4" xfId="5910" xr:uid="{00000000-0005-0000-0000-0000F0340000}"/>
    <cellStyle name="40% - Accent2 4 2 2 4 2" xfId="13894" xr:uid="{00000000-0005-0000-0000-0000F1340000}"/>
    <cellStyle name="40% - Accent2 4 2 2 4 3" xfId="21842" xr:uid="{00000000-0005-0000-0000-0000F2340000}"/>
    <cellStyle name="40% - Accent2 4 2 2 5" xfId="9463" xr:uid="{00000000-0005-0000-0000-0000F3340000}"/>
    <cellStyle name="40% - Accent2 4 2 2 5 2" xfId="17421" xr:uid="{00000000-0005-0000-0000-0000F4340000}"/>
    <cellStyle name="40% - Accent2 4 2 2 5 3" xfId="25365" xr:uid="{00000000-0005-0000-0000-0000F5340000}"/>
    <cellStyle name="40% - Accent2 4 2 2 6" xfId="10359" xr:uid="{00000000-0005-0000-0000-0000F6340000}"/>
    <cellStyle name="40% - Accent2 4 2 2 7" xfId="18314" xr:uid="{00000000-0005-0000-0000-0000F7340000}"/>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3" xfId="24900" xr:uid="{00000000-0005-0000-0000-0000FE340000}"/>
    <cellStyle name="40% - Accent2 4 2 3 2 2 3" xfId="13416" xr:uid="{00000000-0005-0000-0000-0000FF340000}"/>
    <cellStyle name="40% - Accent2 4 2 3 2 2 4" xfId="21371" xr:uid="{00000000-0005-0000-0000-000000350000}"/>
    <cellStyle name="40% - Accent2 4 2 3 2 3" xfId="7224" xr:uid="{00000000-0005-0000-0000-000001350000}"/>
    <cellStyle name="40% - Accent2 4 2 3 2 3 2" xfId="15196" xr:uid="{00000000-0005-0000-0000-000002350000}"/>
    <cellStyle name="40% - Accent2 4 2 3 2 3 3" xfId="23143" xr:uid="{00000000-0005-0000-0000-000003350000}"/>
    <cellStyle name="40% - Accent2 4 2 3 2 4" xfId="11660" xr:uid="{00000000-0005-0000-0000-000004350000}"/>
    <cellStyle name="40% - Accent2 4 2 3 2 5" xfId="19615" xr:uid="{00000000-0005-0000-0000-000005350000}"/>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3" xfId="24022" xr:uid="{00000000-0005-0000-0000-00000A350000}"/>
    <cellStyle name="40% - Accent2 4 2 3 3 3" xfId="12538" xr:uid="{00000000-0005-0000-0000-00000B350000}"/>
    <cellStyle name="40% - Accent2 4 2 3 3 4" xfId="20493" xr:uid="{00000000-0005-0000-0000-00000C350000}"/>
    <cellStyle name="40% - Accent2 4 2 3 4" xfId="6343" xr:uid="{00000000-0005-0000-0000-00000D350000}"/>
    <cellStyle name="40% - Accent2 4 2 3 4 2" xfId="14318" xr:uid="{00000000-0005-0000-0000-00000E350000}"/>
    <cellStyle name="40% - Accent2 4 2 3 4 3" xfId="22265" xr:uid="{00000000-0005-0000-0000-00000F350000}"/>
    <cellStyle name="40% - Accent2 4 2 3 5" xfId="9886" xr:uid="{00000000-0005-0000-0000-000010350000}"/>
    <cellStyle name="40% - Accent2 4 2 3 5 2" xfId="17844" xr:uid="{00000000-0005-0000-0000-000011350000}"/>
    <cellStyle name="40% - Accent2 4 2 3 5 3" xfId="25788" xr:uid="{00000000-0005-0000-0000-000012350000}"/>
    <cellStyle name="40% - Accent2 4 2 3 6" xfId="10782" xr:uid="{00000000-0005-0000-0000-000013350000}"/>
    <cellStyle name="40% - Accent2 4 2 3 7" xfId="18737" xr:uid="{00000000-0005-0000-0000-000014350000}"/>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3" xfId="24476" xr:uid="{00000000-0005-0000-0000-00001A350000}"/>
    <cellStyle name="40% - Accent2 4 2 4 2 3" xfId="12992" xr:uid="{00000000-0005-0000-0000-00001B350000}"/>
    <cellStyle name="40% - Accent2 4 2 4 2 4" xfId="20947" xr:uid="{00000000-0005-0000-0000-00001C350000}"/>
    <cellStyle name="40% - Accent2 4 2 4 3" xfId="6800" xr:uid="{00000000-0005-0000-0000-00001D350000}"/>
    <cellStyle name="40% - Accent2 4 2 4 3 2" xfId="14772" xr:uid="{00000000-0005-0000-0000-00001E350000}"/>
    <cellStyle name="40% - Accent2 4 2 4 3 3" xfId="22719" xr:uid="{00000000-0005-0000-0000-00001F350000}"/>
    <cellStyle name="40% - Accent2 4 2 4 4" xfId="11236" xr:uid="{00000000-0005-0000-0000-000020350000}"/>
    <cellStyle name="40% - Accent2 4 2 4 5" xfId="19191" xr:uid="{00000000-0005-0000-0000-000021350000}"/>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3" xfId="23598" xr:uid="{00000000-0005-0000-0000-000026350000}"/>
    <cellStyle name="40% - Accent2 4 2 5 3" xfId="12114" xr:uid="{00000000-0005-0000-0000-000027350000}"/>
    <cellStyle name="40% - Accent2 4 2 5 4" xfId="20069" xr:uid="{00000000-0005-0000-0000-000028350000}"/>
    <cellStyle name="40% - Accent2 4 2 6" xfId="5909" xr:uid="{00000000-0005-0000-0000-000029350000}"/>
    <cellStyle name="40% - Accent2 4 2 6 2" xfId="13893" xr:uid="{00000000-0005-0000-0000-00002A350000}"/>
    <cellStyle name="40% - Accent2 4 2 6 3" xfId="21841" xr:uid="{00000000-0005-0000-0000-00002B350000}"/>
    <cellStyle name="40% - Accent2 4 2 7" xfId="9462" xr:uid="{00000000-0005-0000-0000-00002C350000}"/>
    <cellStyle name="40% - Accent2 4 2 7 2" xfId="17420" xr:uid="{00000000-0005-0000-0000-00002D350000}"/>
    <cellStyle name="40% - Accent2 4 2 7 3" xfId="25364" xr:uid="{00000000-0005-0000-0000-00002E350000}"/>
    <cellStyle name="40% - Accent2 4 2 8" xfId="10358" xr:uid="{00000000-0005-0000-0000-00002F350000}"/>
    <cellStyle name="40% - Accent2 4 2 9" xfId="18313" xr:uid="{00000000-0005-0000-0000-000030350000}"/>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3" xfId="24478" xr:uid="{00000000-0005-0000-0000-000037350000}"/>
    <cellStyle name="40% - Accent2 4 3 2 2 3" xfId="12994" xr:uid="{00000000-0005-0000-0000-000038350000}"/>
    <cellStyle name="40% - Accent2 4 3 2 2 4" xfId="20949" xr:uid="{00000000-0005-0000-0000-000039350000}"/>
    <cellStyle name="40% - Accent2 4 3 2 3" xfId="6802" xr:uid="{00000000-0005-0000-0000-00003A350000}"/>
    <cellStyle name="40% - Accent2 4 3 2 3 2" xfId="14774" xr:uid="{00000000-0005-0000-0000-00003B350000}"/>
    <cellStyle name="40% - Accent2 4 3 2 3 3" xfId="22721" xr:uid="{00000000-0005-0000-0000-00003C350000}"/>
    <cellStyle name="40% - Accent2 4 3 2 4" xfId="11238" xr:uid="{00000000-0005-0000-0000-00003D350000}"/>
    <cellStyle name="40% - Accent2 4 3 2 5" xfId="19193" xr:uid="{00000000-0005-0000-0000-00003E350000}"/>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3" xfId="23600" xr:uid="{00000000-0005-0000-0000-000043350000}"/>
    <cellStyle name="40% - Accent2 4 3 3 3" xfId="12116" xr:uid="{00000000-0005-0000-0000-000044350000}"/>
    <cellStyle name="40% - Accent2 4 3 3 4" xfId="20071" xr:uid="{00000000-0005-0000-0000-000045350000}"/>
    <cellStyle name="40% - Accent2 4 3 4" xfId="5911" xr:uid="{00000000-0005-0000-0000-000046350000}"/>
    <cellStyle name="40% - Accent2 4 3 4 2" xfId="13895" xr:uid="{00000000-0005-0000-0000-000047350000}"/>
    <cellStyle name="40% - Accent2 4 3 4 3" xfId="21843" xr:uid="{00000000-0005-0000-0000-000048350000}"/>
    <cellStyle name="40% - Accent2 4 3 5" xfId="9464" xr:uid="{00000000-0005-0000-0000-000049350000}"/>
    <cellStyle name="40% - Accent2 4 3 5 2" xfId="17422" xr:uid="{00000000-0005-0000-0000-00004A350000}"/>
    <cellStyle name="40% - Accent2 4 3 5 3" xfId="25366" xr:uid="{00000000-0005-0000-0000-00004B350000}"/>
    <cellStyle name="40% - Accent2 4 3 6" xfId="10360" xr:uid="{00000000-0005-0000-0000-00004C350000}"/>
    <cellStyle name="40% - Accent2 4 3 7" xfId="18315" xr:uid="{00000000-0005-0000-0000-00004D350000}"/>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3" xfId="24899" xr:uid="{00000000-0005-0000-0000-000054350000}"/>
    <cellStyle name="40% - Accent2 4 4 2 2 3" xfId="13415" xr:uid="{00000000-0005-0000-0000-000055350000}"/>
    <cellStyle name="40% - Accent2 4 4 2 2 4" xfId="21370" xr:uid="{00000000-0005-0000-0000-000056350000}"/>
    <cellStyle name="40% - Accent2 4 4 2 3" xfId="7223" xr:uid="{00000000-0005-0000-0000-000057350000}"/>
    <cellStyle name="40% - Accent2 4 4 2 3 2" xfId="15195" xr:uid="{00000000-0005-0000-0000-000058350000}"/>
    <cellStyle name="40% - Accent2 4 4 2 3 3" xfId="23142" xr:uid="{00000000-0005-0000-0000-000059350000}"/>
    <cellStyle name="40% - Accent2 4 4 2 4" xfId="11659" xr:uid="{00000000-0005-0000-0000-00005A350000}"/>
    <cellStyle name="40% - Accent2 4 4 2 5" xfId="19614" xr:uid="{00000000-0005-0000-0000-00005B350000}"/>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3" xfId="24021" xr:uid="{00000000-0005-0000-0000-000060350000}"/>
    <cellStyle name="40% - Accent2 4 4 3 3" xfId="12537" xr:uid="{00000000-0005-0000-0000-000061350000}"/>
    <cellStyle name="40% - Accent2 4 4 3 4" xfId="20492" xr:uid="{00000000-0005-0000-0000-000062350000}"/>
    <cellStyle name="40% - Accent2 4 4 4" xfId="6342" xr:uid="{00000000-0005-0000-0000-000063350000}"/>
    <cellStyle name="40% - Accent2 4 4 4 2" xfId="14317" xr:uid="{00000000-0005-0000-0000-000064350000}"/>
    <cellStyle name="40% - Accent2 4 4 4 3" xfId="22264" xr:uid="{00000000-0005-0000-0000-000065350000}"/>
    <cellStyle name="40% - Accent2 4 4 5" xfId="9885" xr:uid="{00000000-0005-0000-0000-000066350000}"/>
    <cellStyle name="40% - Accent2 4 4 5 2" xfId="17843" xr:uid="{00000000-0005-0000-0000-000067350000}"/>
    <cellStyle name="40% - Accent2 4 4 5 3" xfId="25787" xr:uid="{00000000-0005-0000-0000-000068350000}"/>
    <cellStyle name="40% - Accent2 4 4 6" xfId="10781" xr:uid="{00000000-0005-0000-0000-000069350000}"/>
    <cellStyle name="40% - Accent2 4 4 7" xfId="18736" xr:uid="{00000000-0005-0000-0000-00006A350000}"/>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3" xfId="24475" xr:uid="{00000000-0005-0000-0000-000070350000}"/>
    <cellStyle name="40% - Accent2 4 5 2 3" xfId="12991" xr:uid="{00000000-0005-0000-0000-000071350000}"/>
    <cellStyle name="40% - Accent2 4 5 2 4" xfId="20946" xr:uid="{00000000-0005-0000-0000-000072350000}"/>
    <cellStyle name="40% - Accent2 4 5 3" xfId="6799" xr:uid="{00000000-0005-0000-0000-000073350000}"/>
    <cellStyle name="40% - Accent2 4 5 3 2" xfId="14771" xr:uid="{00000000-0005-0000-0000-000074350000}"/>
    <cellStyle name="40% - Accent2 4 5 3 3" xfId="22718" xr:uid="{00000000-0005-0000-0000-000075350000}"/>
    <cellStyle name="40% - Accent2 4 5 4" xfId="11235" xr:uid="{00000000-0005-0000-0000-000076350000}"/>
    <cellStyle name="40% - Accent2 4 5 5" xfId="19190" xr:uid="{00000000-0005-0000-0000-000077350000}"/>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3" xfId="23597" xr:uid="{00000000-0005-0000-0000-00007C350000}"/>
    <cellStyle name="40% - Accent2 4 6 3" xfId="12113" xr:uid="{00000000-0005-0000-0000-00007D350000}"/>
    <cellStyle name="40% - Accent2 4 6 4" xfId="20068" xr:uid="{00000000-0005-0000-0000-00007E350000}"/>
    <cellStyle name="40% - Accent2 4 7" xfId="5908" xr:uid="{00000000-0005-0000-0000-00007F350000}"/>
    <cellStyle name="40% - Accent2 4 7 2" xfId="13892" xr:uid="{00000000-0005-0000-0000-000080350000}"/>
    <cellStyle name="40% - Accent2 4 7 3" xfId="21840" xr:uid="{00000000-0005-0000-0000-000081350000}"/>
    <cellStyle name="40% - Accent2 4 8" xfId="9461" xr:uid="{00000000-0005-0000-0000-000082350000}"/>
    <cellStyle name="40% - Accent2 4 8 2" xfId="17419" xr:uid="{00000000-0005-0000-0000-000083350000}"/>
    <cellStyle name="40% - Accent2 4 8 3" xfId="25363" xr:uid="{00000000-0005-0000-0000-000084350000}"/>
    <cellStyle name="40% - Accent2 4 9" xfId="10357" xr:uid="{00000000-0005-0000-0000-000085350000}"/>
    <cellStyle name="40% - Accent2 4_Exh G" xfId="2873" xr:uid="{00000000-0005-0000-0000-000086350000}"/>
    <cellStyle name="40% - Accent2 5" xfId="413" xr:uid="{00000000-0005-0000-0000-000087350000}"/>
    <cellStyle name="40% - Accent2 5 10" xfId="18316" xr:uid="{00000000-0005-0000-0000-000088350000}"/>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3" xfId="24481" xr:uid="{00000000-0005-0000-0000-00008F350000}"/>
    <cellStyle name="40% - Accent2 5 2 2 2 2 3" xfId="12997" xr:uid="{00000000-0005-0000-0000-000090350000}"/>
    <cellStyle name="40% - Accent2 5 2 2 2 2 4" xfId="20952" xr:uid="{00000000-0005-0000-0000-000091350000}"/>
    <cellStyle name="40% - Accent2 5 2 2 2 3" xfId="6805" xr:uid="{00000000-0005-0000-0000-000092350000}"/>
    <cellStyle name="40% - Accent2 5 2 2 2 3 2" xfId="14777" xr:uid="{00000000-0005-0000-0000-000093350000}"/>
    <cellStyle name="40% - Accent2 5 2 2 2 3 3" xfId="22724" xr:uid="{00000000-0005-0000-0000-000094350000}"/>
    <cellStyle name="40% - Accent2 5 2 2 2 4" xfId="11241" xr:uid="{00000000-0005-0000-0000-000095350000}"/>
    <cellStyle name="40% - Accent2 5 2 2 2 5" xfId="19196" xr:uid="{00000000-0005-0000-0000-00009635000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3" xfId="23603" xr:uid="{00000000-0005-0000-0000-00009B350000}"/>
    <cellStyle name="40% - Accent2 5 2 2 3 3" xfId="12119" xr:uid="{00000000-0005-0000-0000-00009C350000}"/>
    <cellStyle name="40% - Accent2 5 2 2 3 4" xfId="20074" xr:uid="{00000000-0005-0000-0000-00009D350000}"/>
    <cellStyle name="40% - Accent2 5 2 2 4" xfId="5914" xr:uid="{00000000-0005-0000-0000-00009E350000}"/>
    <cellStyle name="40% - Accent2 5 2 2 4 2" xfId="13898" xr:uid="{00000000-0005-0000-0000-00009F350000}"/>
    <cellStyle name="40% - Accent2 5 2 2 4 3" xfId="21846" xr:uid="{00000000-0005-0000-0000-0000A0350000}"/>
    <cellStyle name="40% - Accent2 5 2 2 5" xfId="9467" xr:uid="{00000000-0005-0000-0000-0000A1350000}"/>
    <cellStyle name="40% - Accent2 5 2 2 5 2" xfId="17425" xr:uid="{00000000-0005-0000-0000-0000A2350000}"/>
    <cellStyle name="40% - Accent2 5 2 2 5 3" xfId="25369" xr:uid="{00000000-0005-0000-0000-0000A3350000}"/>
    <cellStyle name="40% - Accent2 5 2 2 6" xfId="10363" xr:uid="{00000000-0005-0000-0000-0000A4350000}"/>
    <cellStyle name="40% - Accent2 5 2 2 7" xfId="18318" xr:uid="{00000000-0005-0000-0000-0000A5350000}"/>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3" xfId="24480" xr:uid="{00000000-0005-0000-0000-0000AB350000}"/>
    <cellStyle name="40% - Accent2 5 2 3 2 3" xfId="12996" xr:uid="{00000000-0005-0000-0000-0000AC350000}"/>
    <cellStyle name="40% - Accent2 5 2 3 2 4" xfId="20951" xr:uid="{00000000-0005-0000-0000-0000AD350000}"/>
    <cellStyle name="40% - Accent2 5 2 3 3" xfId="6804" xr:uid="{00000000-0005-0000-0000-0000AE350000}"/>
    <cellStyle name="40% - Accent2 5 2 3 3 2" xfId="14776" xr:uid="{00000000-0005-0000-0000-0000AF350000}"/>
    <cellStyle name="40% - Accent2 5 2 3 3 3" xfId="22723" xr:uid="{00000000-0005-0000-0000-0000B0350000}"/>
    <cellStyle name="40% - Accent2 5 2 3 4" xfId="11240" xr:uid="{00000000-0005-0000-0000-0000B1350000}"/>
    <cellStyle name="40% - Accent2 5 2 3 5" xfId="19195" xr:uid="{00000000-0005-0000-0000-0000B2350000}"/>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3" xfId="23602" xr:uid="{00000000-0005-0000-0000-0000B7350000}"/>
    <cellStyle name="40% - Accent2 5 2 4 3" xfId="12118" xr:uid="{00000000-0005-0000-0000-0000B8350000}"/>
    <cellStyle name="40% - Accent2 5 2 4 4" xfId="20073" xr:uid="{00000000-0005-0000-0000-0000B9350000}"/>
    <cellStyle name="40% - Accent2 5 2 5" xfId="5913" xr:uid="{00000000-0005-0000-0000-0000BA350000}"/>
    <cellStyle name="40% - Accent2 5 2 5 2" xfId="13897" xr:uid="{00000000-0005-0000-0000-0000BB350000}"/>
    <cellStyle name="40% - Accent2 5 2 5 3" xfId="21845" xr:uid="{00000000-0005-0000-0000-0000BC350000}"/>
    <cellStyle name="40% - Accent2 5 2 6" xfId="9466" xr:uid="{00000000-0005-0000-0000-0000BD350000}"/>
    <cellStyle name="40% - Accent2 5 2 6 2" xfId="17424" xr:uid="{00000000-0005-0000-0000-0000BE350000}"/>
    <cellStyle name="40% - Accent2 5 2 6 3" xfId="25368" xr:uid="{00000000-0005-0000-0000-0000BF350000}"/>
    <cellStyle name="40% - Accent2 5 2 7" xfId="10362" xr:uid="{00000000-0005-0000-0000-0000C0350000}"/>
    <cellStyle name="40% - Accent2 5 2 8" xfId="18317" xr:uid="{00000000-0005-0000-0000-0000C1350000}"/>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3" xfId="24482" xr:uid="{00000000-0005-0000-0000-0000C8350000}"/>
    <cellStyle name="40% - Accent2 5 3 2 2 3" xfId="12998" xr:uid="{00000000-0005-0000-0000-0000C9350000}"/>
    <cellStyle name="40% - Accent2 5 3 2 2 4" xfId="20953" xr:uid="{00000000-0005-0000-0000-0000CA350000}"/>
    <cellStyle name="40% - Accent2 5 3 2 3" xfId="6806" xr:uid="{00000000-0005-0000-0000-0000CB350000}"/>
    <cellStyle name="40% - Accent2 5 3 2 3 2" xfId="14778" xr:uid="{00000000-0005-0000-0000-0000CC350000}"/>
    <cellStyle name="40% - Accent2 5 3 2 3 3" xfId="22725" xr:uid="{00000000-0005-0000-0000-0000CD350000}"/>
    <cellStyle name="40% - Accent2 5 3 2 4" xfId="11242" xr:uid="{00000000-0005-0000-0000-0000CE350000}"/>
    <cellStyle name="40% - Accent2 5 3 2 5" xfId="19197" xr:uid="{00000000-0005-0000-0000-0000CF350000}"/>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3" xfId="23604" xr:uid="{00000000-0005-0000-0000-0000D4350000}"/>
    <cellStyle name="40% - Accent2 5 3 3 3" xfId="12120" xr:uid="{00000000-0005-0000-0000-0000D5350000}"/>
    <cellStyle name="40% - Accent2 5 3 3 4" xfId="20075" xr:uid="{00000000-0005-0000-0000-0000D6350000}"/>
    <cellStyle name="40% - Accent2 5 3 4" xfId="5915" xr:uid="{00000000-0005-0000-0000-0000D7350000}"/>
    <cellStyle name="40% - Accent2 5 3 4 2" xfId="13899" xr:uid="{00000000-0005-0000-0000-0000D8350000}"/>
    <cellStyle name="40% - Accent2 5 3 4 3" xfId="21847" xr:uid="{00000000-0005-0000-0000-0000D9350000}"/>
    <cellStyle name="40% - Accent2 5 3 5" xfId="9468" xr:uid="{00000000-0005-0000-0000-0000DA350000}"/>
    <cellStyle name="40% - Accent2 5 3 5 2" xfId="17426" xr:uid="{00000000-0005-0000-0000-0000DB350000}"/>
    <cellStyle name="40% - Accent2 5 3 5 3" xfId="25370" xr:uid="{00000000-0005-0000-0000-0000DC350000}"/>
    <cellStyle name="40% - Accent2 5 3 6" xfId="10364" xr:uid="{00000000-0005-0000-0000-0000DD350000}"/>
    <cellStyle name="40% - Accent2 5 3 7" xfId="18319" xr:uid="{00000000-0005-0000-0000-0000DE350000}"/>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3" xfId="24479" xr:uid="{00000000-0005-0000-0000-0000E5350000}"/>
    <cellStyle name="40% - Accent2 5 5 2 3" xfId="12995" xr:uid="{00000000-0005-0000-0000-0000E6350000}"/>
    <cellStyle name="40% - Accent2 5 5 2 4" xfId="20950" xr:uid="{00000000-0005-0000-0000-0000E7350000}"/>
    <cellStyle name="40% - Accent2 5 5 3" xfId="6803" xr:uid="{00000000-0005-0000-0000-0000E8350000}"/>
    <cellStyle name="40% - Accent2 5 5 3 2" xfId="14775" xr:uid="{00000000-0005-0000-0000-0000E9350000}"/>
    <cellStyle name="40% - Accent2 5 5 3 3" xfId="22722" xr:uid="{00000000-0005-0000-0000-0000EA350000}"/>
    <cellStyle name="40% - Accent2 5 5 4" xfId="11239" xr:uid="{00000000-0005-0000-0000-0000EB350000}"/>
    <cellStyle name="40% - Accent2 5 5 5" xfId="19194" xr:uid="{00000000-0005-0000-0000-0000EC350000}"/>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3" xfId="23601" xr:uid="{00000000-0005-0000-0000-0000F1350000}"/>
    <cellStyle name="40% - Accent2 5 6 3" xfId="12117" xr:uid="{00000000-0005-0000-0000-0000F2350000}"/>
    <cellStyle name="40% - Accent2 5 6 4" xfId="20072" xr:uid="{00000000-0005-0000-0000-0000F3350000}"/>
    <cellStyle name="40% - Accent2 5 7" xfId="5912" xr:uid="{00000000-0005-0000-0000-0000F4350000}"/>
    <cellStyle name="40% - Accent2 5 7 2" xfId="13896" xr:uid="{00000000-0005-0000-0000-0000F5350000}"/>
    <cellStyle name="40% - Accent2 5 7 3" xfId="21844" xr:uid="{00000000-0005-0000-0000-0000F6350000}"/>
    <cellStyle name="40% - Accent2 5 8" xfId="9465" xr:uid="{00000000-0005-0000-0000-0000F7350000}"/>
    <cellStyle name="40% - Accent2 5 8 2" xfId="17423" xr:uid="{00000000-0005-0000-0000-0000F8350000}"/>
    <cellStyle name="40% - Accent2 5 8 3" xfId="25367" xr:uid="{00000000-0005-0000-0000-0000F9350000}"/>
    <cellStyle name="40% - Accent2 5 9" xfId="10361" xr:uid="{00000000-0005-0000-0000-0000FA350000}"/>
    <cellStyle name="40% - Accent2 5_Exh G" xfId="2885" xr:uid="{00000000-0005-0000-0000-0000FB350000}"/>
    <cellStyle name="40% - Accent2 6" xfId="417" xr:uid="{00000000-0005-0000-0000-0000FC350000}"/>
    <cellStyle name="40% - Accent2 6 10" xfId="18320" xr:uid="{00000000-0005-0000-0000-0000FD350000}"/>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3" xfId="24485" xr:uid="{00000000-0005-0000-0000-000004360000}"/>
    <cellStyle name="40% - Accent2 6 2 2 2 2 3" xfId="13001" xr:uid="{00000000-0005-0000-0000-000005360000}"/>
    <cellStyle name="40% - Accent2 6 2 2 2 2 4" xfId="20956" xr:uid="{00000000-0005-0000-0000-000006360000}"/>
    <cellStyle name="40% - Accent2 6 2 2 2 3" xfId="6809" xr:uid="{00000000-0005-0000-0000-000007360000}"/>
    <cellStyle name="40% - Accent2 6 2 2 2 3 2" xfId="14781" xr:uid="{00000000-0005-0000-0000-000008360000}"/>
    <cellStyle name="40% - Accent2 6 2 2 2 3 3" xfId="22728" xr:uid="{00000000-0005-0000-0000-000009360000}"/>
    <cellStyle name="40% - Accent2 6 2 2 2 4" xfId="11245" xr:uid="{00000000-0005-0000-0000-00000A360000}"/>
    <cellStyle name="40% - Accent2 6 2 2 2 5" xfId="19200" xr:uid="{00000000-0005-0000-0000-00000B360000}"/>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3" xfId="23607" xr:uid="{00000000-0005-0000-0000-000010360000}"/>
    <cellStyle name="40% - Accent2 6 2 2 3 3" xfId="12123" xr:uid="{00000000-0005-0000-0000-000011360000}"/>
    <cellStyle name="40% - Accent2 6 2 2 3 4" xfId="20078" xr:uid="{00000000-0005-0000-0000-000012360000}"/>
    <cellStyle name="40% - Accent2 6 2 2 4" xfId="5918" xr:uid="{00000000-0005-0000-0000-000013360000}"/>
    <cellStyle name="40% - Accent2 6 2 2 4 2" xfId="13902" xr:uid="{00000000-0005-0000-0000-000014360000}"/>
    <cellStyle name="40% - Accent2 6 2 2 4 3" xfId="21850" xr:uid="{00000000-0005-0000-0000-000015360000}"/>
    <cellStyle name="40% - Accent2 6 2 2 5" xfId="9471" xr:uid="{00000000-0005-0000-0000-000016360000}"/>
    <cellStyle name="40% - Accent2 6 2 2 5 2" xfId="17429" xr:uid="{00000000-0005-0000-0000-000017360000}"/>
    <cellStyle name="40% - Accent2 6 2 2 5 3" xfId="25373" xr:uid="{00000000-0005-0000-0000-000018360000}"/>
    <cellStyle name="40% - Accent2 6 2 2 6" xfId="10367" xr:uid="{00000000-0005-0000-0000-000019360000}"/>
    <cellStyle name="40% - Accent2 6 2 2 7" xfId="18322" xr:uid="{00000000-0005-0000-0000-00001A360000}"/>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3" xfId="24484" xr:uid="{00000000-0005-0000-0000-000020360000}"/>
    <cellStyle name="40% - Accent2 6 2 3 2 3" xfId="13000" xr:uid="{00000000-0005-0000-0000-000021360000}"/>
    <cellStyle name="40% - Accent2 6 2 3 2 4" xfId="20955" xr:uid="{00000000-0005-0000-0000-000022360000}"/>
    <cellStyle name="40% - Accent2 6 2 3 3" xfId="6808" xr:uid="{00000000-0005-0000-0000-000023360000}"/>
    <cellStyle name="40% - Accent2 6 2 3 3 2" xfId="14780" xr:uid="{00000000-0005-0000-0000-000024360000}"/>
    <cellStyle name="40% - Accent2 6 2 3 3 3" xfId="22727" xr:uid="{00000000-0005-0000-0000-000025360000}"/>
    <cellStyle name="40% - Accent2 6 2 3 4" xfId="11244" xr:uid="{00000000-0005-0000-0000-000026360000}"/>
    <cellStyle name="40% - Accent2 6 2 3 5" xfId="19199" xr:uid="{00000000-0005-0000-0000-000027360000}"/>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3" xfId="23606" xr:uid="{00000000-0005-0000-0000-00002C360000}"/>
    <cellStyle name="40% - Accent2 6 2 4 3" xfId="12122" xr:uid="{00000000-0005-0000-0000-00002D360000}"/>
    <cellStyle name="40% - Accent2 6 2 4 4" xfId="20077" xr:uid="{00000000-0005-0000-0000-00002E360000}"/>
    <cellStyle name="40% - Accent2 6 2 5" xfId="5917" xr:uid="{00000000-0005-0000-0000-00002F360000}"/>
    <cellStyle name="40% - Accent2 6 2 5 2" xfId="13901" xr:uid="{00000000-0005-0000-0000-000030360000}"/>
    <cellStyle name="40% - Accent2 6 2 5 3" xfId="21849" xr:uid="{00000000-0005-0000-0000-000031360000}"/>
    <cellStyle name="40% - Accent2 6 2 6" xfId="9470" xr:uid="{00000000-0005-0000-0000-000032360000}"/>
    <cellStyle name="40% - Accent2 6 2 6 2" xfId="17428" xr:uid="{00000000-0005-0000-0000-000033360000}"/>
    <cellStyle name="40% - Accent2 6 2 6 3" xfId="25372" xr:uid="{00000000-0005-0000-0000-000034360000}"/>
    <cellStyle name="40% - Accent2 6 2 7" xfId="10366" xr:uid="{00000000-0005-0000-0000-000035360000}"/>
    <cellStyle name="40% - Accent2 6 2 8" xfId="18321" xr:uid="{00000000-0005-0000-0000-000036360000}"/>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3" xfId="24486" xr:uid="{00000000-0005-0000-0000-00003D360000}"/>
    <cellStyle name="40% - Accent2 6 3 2 2 3" xfId="13002" xr:uid="{00000000-0005-0000-0000-00003E360000}"/>
    <cellStyle name="40% - Accent2 6 3 2 2 4" xfId="20957" xr:uid="{00000000-0005-0000-0000-00003F360000}"/>
    <cellStyle name="40% - Accent2 6 3 2 3" xfId="6810" xr:uid="{00000000-0005-0000-0000-000040360000}"/>
    <cellStyle name="40% - Accent2 6 3 2 3 2" xfId="14782" xr:uid="{00000000-0005-0000-0000-000041360000}"/>
    <cellStyle name="40% - Accent2 6 3 2 3 3" xfId="22729" xr:uid="{00000000-0005-0000-0000-000042360000}"/>
    <cellStyle name="40% - Accent2 6 3 2 4" xfId="11246" xr:uid="{00000000-0005-0000-0000-000043360000}"/>
    <cellStyle name="40% - Accent2 6 3 2 5" xfId="19201" xr:uid="{00000000-0005-0000-0000-000044360000}"/>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3" xfId="23608" xr:uid="{00000000-0005-0000-0000-000049360000}"/>
    <cellStyle name="40% - Accent2 6 3 3 3" xfId="12124" xr:uid="{00000000-0005-0000-0000-00004A360000}"/>
    <cellStyle name="40% - Accent2 6 3 3 4" xfId="20079" xr:uid="{00000000-0005-0000-0000-00004B360000}"/>
    <cellStyle name="40% - Accent2 6 3 4" xfId="5919" xr:uid="{00000000-0005-0000-0000-00004C360000}"/>
    <cellStyle name="40% - Accent2 6 3 4 2" xfId="13903" xr:uid="{00000000-0005-0000-0000-00004D360000}"/>
    <cellStyle name="40% - Accent2 6 3 4 3" xfId="21851" xr:uid="{00000000-0005-0000-0000-00004E360000}"/>
    <cellStyle name="40% - Accent2 6 3 5" xfId="9472" xr:uid="{00000000-0005-0000-0000-00004F360000}"/>
    <cellStyle name="40% - Accent2 6 3 5 2" xfId="17430" xr:uid="{00000000-0005-0000-0000-000050360000}"/>
    <cellStyle name="40% - Accent2 6 3 5 3" xfId="25374" xr:uid="{00000000-0005-0000-0000-000051360000}"/>
    <cellStyle name="40% - Accent2 6 3 6" xfId="10368" xr:uid="{00000000-0005-0000-0000-000052360000}"/>
    <cellStyle name="40% - Accent2 6 3 7" xfId="18323" xr:uid="{00000000-0005-0000-0000-000053360000}"/>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3" xfId="24901" xr:uid="{00000000-0005-0000-0000-00005A360000}"/>
    <cellStyle name="40% - Accent2 6 4 2 2 3" xfId="13417" xr:uid="{00000000-0005-0000-0000-00005B360000}"/>
    <cellStyle name="40% - Accent2 6 4 2 2 4" xfId="21372" xr:uid="{00000000-0005-0000-0000-00005C360000}"/>
    <cellStyle name="40% - Accent2 6 4 2 3" xfId="7225" xr:uid="{00000000-0005-0000-0000-00005D360000}"/>
    <cellStyle name="40% - Accent2 6 4 2 3 2" xfId="15197" xr:uid="{00000000-0005-0000-0000-00005E360000}"/>
    <cellStyle name="40% - Accent2 6 4 2 3 3" xfId="23144" xr:uid="{00000000-0005-0000-0000-00005F360000}"/>
    <cellStyle name="40% - Accent2 6 4 2 4" xfId="11661" xr:uid="{00000000-0005-0000-0000-000060360000}"/>
    <cellStyle name="40% - Accent2 6 4 2 5" xfId="19616" xr:uid="{00000000-0005-0000-0000-000061360000}"/>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3" xfId="24023" xr:uid="{00000000-0005-0000-0000-000066360000}"/>
    <cellStyle name="40% - Accent2 6 4 3 3" xfId="12539" xr:uid="{00000000-0005-0000-0000-000067360000}"/>
    <cellStyle name="40% - Accent2 6 4 3 4" xfId="20494" xr:uid="{00000000-0005-0000-0000-000068360000}"/>
    <cellStyle name="40% - Accent2 6 4 4" xfId="6344" xr:uid="{00000000-0005-0000-0000-000069360000}"/>
    <cellStyle name="40% - Accent2 6 4 4 2" xfId="14319" xr:uid="{00000000-0005-0000-0000-00006A360000}"/>
    <cellStyle name="40% - Accent2 6 4 4 3" xfId="22266" xr:uid="{00000000-0005-0000-0000-00006B360000}"/>
    <cellStyle name="40% - Accent2 6 4 5" xfId="9887" xr:uid="{00000000-0005-0000-0000-00006C360000}"/>
    <cellStyle name="40% - Accent2 6 4 5 2" xfId="17845" xr:uid="{00000000-0005-0000-0000-00006D360000}"/>
    <cellStyle name="40% - Accent2 6 4 5 3" xfId="25789" xr:uid="{00000000-0005-0000-0000-00006E360000}"/>
    <cellStyle name="40% - Accent2 6 4 6" xfId="10783" xr:uid="{00000000-0005-0000-0000-00006F360000}"/>
    <cellStyle name="40% - Accent2 6 4 7" xfId="18738" xr:uid="{00000000-0005-0000-0000-000070360000}"/>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3" xfId="24483" xr:uid="{00000000-0005-0000-0000-000076360000}"/>
    <cellStyle name="40% - Accent2 6 5 2 3" xfId="12999" xr:uid="{00000000-0005-0000-0000-000077360000}"/>
    <cellStyle name="40% - Accent2 6 5 2 4" xfId="20954" xr:uid="{00000000-0005-0000-0000-000078360000}"/>
    <cellStyle name="40% - Accent2 6 5 3" xfId="6807" xr:uid="{00000000-0005-0000-0000-000079360000}"/>
    <cellStyle name="40% - Accent2 6 5 3 2" xfId="14779" xr:uid="{00000000-0005-0000-0000-00007A360000}"/>
    <cellStyle name="40% - Accent2 6 5 3 3" xfId="22726" xr:uid="{00000000-0005-0000-0000-00007B360000}"/>
    <cellStyle name="40% - Accent2 6 5 4" xfId="11243" xr:uid="{00000000-0005-0000-0000-00007C360000}"/>
    <cellStyle name="40% - Accent2 6 5 5" xfId="19198" xr:uid="{00000000-0005-0000-0000-00007D360000}"/>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3" xfId="23605" xr:uid="{00000000-0005-0000-0000-000082360000}"/>
    <cellStyle name="40% - Accent2 6 6 3" xfId="12121" xr:uid="{00000000-0005-0000-0000-000083360000}"/>
    <cellStyle name="40% - Accent2 6 6 4" xfId="20076" xr:uid="{00000000-0005-0000-0000-000084360000}"/>
    <cellStyle name="40% - Accent2 6 7" xfId="5916" xr:uid="{00000000-0005-0000-0000-000085360000}"/>
    <cellStyle name="40% - Accent2 6 7 2" xfId="13900" xr:uid="{00000000-0005-0000-0000-000086360000}"/>
    <cellStyle name="40% - Accent2 6 7 3" xfId="21848" xr:uid="{00000000-0005-0000-0000-000087360000}"/>
    <cellStyle name="40% - Accent2 6 8" xfId="9469" xr:uid="{00000000-0005-0000-0000-000088360000}"/>
    <cellStyle name="40% - Accent2 6 8 2" xfId="17427" xr:uid="{00000000-0005-0000-0000-000089360000}"/>
    <cellStyle name="40% - Accent2 6 8 3" xfId="25371" xr:uid="{00000000-0005-0000-0000-00008A360000}"/>
    <cellStyle name="40% - Accent2 6 9" xfId="10365" xr:uid="{00000000-0005-0000-0000-00008B360000}"/>
    <cellStyle name="40% - Accent2 6_Exh G" xfId="2893" xr:uid="{00000000-0005-0000-0000-00008C360000}"/>
    <cellStyle name="40% - Accent2 7" xfId="421" xr:uid="{00000000-0005-0000-0000-00008D360000}"/>
    <cellStyle name="40% - Accent2 7 10" xfId="18324" xr:uid="{00000000-0005-0000-0000-00008E360000}"/>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3" xfId="24489" xr:uid="{00000000-0005-0000-0000-000095360000}"/>
    <cellStyle name="40% - Accent2 7 2 2 2 2 3" xfId="13005" xr:uid="{00000000-0005-0000-0000-000096360000}"/>
    <cellStyle name="40% - Accent2 7 2 2 2 2 4" xfId="20960" xr:uid="{00000000-0005-0000-0000-000097360000}"/>
    <cellStyle name="40% - Accent2 7 2 2 2 3" xfId="6813" xr:uid="{00000000-0005-0000-0000-000098360000}"/>
    <cellStyle name="40% - Accent2 7 2 2 2 3 2" xfId="14785" xr:uid="{00000000-0005-0000-0000-000099360000}"/>
    <cellStyle name="40% - Accent2 7 2 2 2 3 3" xfId="22732" xr:uid="{00000000-0005-0000-0000-00009A360000}"/>
    <cellStyle name="40% - Accent2 7 2 2 2 4" xfId="11249" xr:uid="{00000000-0005-0000-0000-00009B360000}"/>
    <cellStyle name="40% - Accent2 7 2 2 2 5" xfId="19204" xr:uid="{00000000-0005-0000-0000-00009C360000}"/>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3" xfId="23611" xr:uid="{00000000-0005-0000-0000-0000A1360000}"/>
    <cellStyle name="40% - Accent2 7 2 2 3 3" xfId="12127" xr:uid="{00000000-0005-0000-0000-0000A2360000}"/>
    <cellStyle name="40% - Accent2 7 2 2 3 4" xfId="20082" xr:uid="{00000000-0005-0000-0000-0000A3360000}"/>
    <cellStyle name="40% - Accent2 7 2 2 4" xfId="5922" xr:uid="{00000000-0005-0000-0000-0000A4360000}"/>
    <cellStyle name="40% - Accent2 7 2 2 4 2" xfId="13906" xr:uid="{00000000-0005-0000-0000-0000A5360000}"/>
    <cellStyle name="40% - Accent2 7 2 2 4 3" xfId="21854" xr:uid="{00000000-0005-0000-0000-0000A6360000}"/>
    <cellStyle name="40% - Accent2 7 2 2 5" xfId="9475" xr:uid="{00000000-0005-0000-0000-0000A7360000}"/>
    <cellStyle name="40% - Accent2 7 2 2 5 2" xfId="17433" xr:uid="{00000000-0005-0000-0000-0000A8360000}"/>
    <cellStyle name="40% - Accent2 7 2 2 5 3" xfId="25377" xr:uid="{00000000-0005-0000-0000-0000A9360000}"/>
    <cellStyle name="40% - Accent2 7 2 2 6" xfId="10371" xr:uid="{00000000-0005-0000-0000-0000AA360000}"/>
    <cellStyle name="40% - Accent2 7 2 2 7" xfId="18326" xr:uid="{00000000-0005-0000-0000-0000AB36000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3" xfId="24488" xr:uid="{00000000-0005-0000-0000-0000B1360000}"/>
    <cellStyle name="40% - Accent2 7 2 3 2 3" xfId="13004" xr:uid="{00000000-0005-0000-0000-0000B2360000}"/>
    <cellStyle name="40% - Accent2 7 2 3 2 4" xfId="20959" xr:uid="{00000000-0005-0000-0000-0000B3360000}"/>
    <cellStyle name="40% - Accent2 7 2 3 3" xfId="6812" xr:uid="{00000000-0005-0000-0000-0000B4360000}"/>
    <cellStyle name="40% - Accent2 7 2 3 3 2" xfId="14784" xr:uid="{00000000-0005-0000-0000-0000B5360000}"/>
    <cellStyle name="40% - Accent2 7 2 3 3 3" xfId="22731" xr:uid="{00000000-0005-0000-0000-0000B6360000}"/>
    <cellStyle name="40% - Accent2 7 2 3 4" xfId="11248" xr:uid="{00000000-0005-0000-0000-0000B7360000}"/>
    <cellStyle name="40% - Accent2 7 2 3 5" xfId="19203" xr:uid="{00000000-0005-0000-0000-0000B8360000}"/>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3" xfId="23610" xr:uid="{00000000-0005-0000-0000-0000BD360000}"/>
    <cellStyle name="40% - Accent2 7 2 4 3" xfId="12126" xr:uid="{00000000-0005-0000-0000-0000BE360000}"/>
    <cellStyle name="40% - Accent2 7 2 4 4" xfId="20081" xr:uid="{00000000-0005-0000-0000-0000BF360000}"/>
    <cellStyle name="40% - Accent2 7 2 5" xfId="5921" xr:uid="{00000000-0005-0000-0000-0000C0360000}"/>
    <cellStyle name="40% - Accent2 7 2 5 2" xfId="13905" xr:uid="{00000000-0005-0000-0000-0000C1360000}"/>
    <cellStyle name="40% - Accent2 7 2 5 3" xfId="21853" xr:uid="{00000000-0005-0000-0000-0000C2360000}"/>
    <cellStyle name="40% - Accent2 7 2 6" xfId="9474" xr:uid="{00000000-0005-0000-0000-0000C3360000}"/>
    <cellStyle name="40% - Accent2 7 2 6 2" xfId="17432" xr:uid="{00000000-0005-0000-0000-0000C4360000}"/>
    <cellStyle name="40% - Accent2 7 2 6 3" xfId="25376" xr:uid="{00000000-0005-0000-0000-0000C5360000}"/>
    <cellStyle name="40% - Accent2 7 2 7" xfId="10370" xr:uid="{00000000-0005-0000-0000-0000C6360000}"/>
    <cellStyle name="40% - Accent2 7 2 8" xfId="18325" xr:uid="{00000000-0005-0000-0000-0000C7360000}"/>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3" xfId="24490" xr:uid="{00000000-0005-0000-0000-0000CE360000}"/>
    <cellStyle name="40% - Accent2 7 3 2 2 3" xfId="13006" xr:uid="{00000000-0005-0000-0000-0000CF360000}"/>
    <cellStyle name="40% - Accent2 7 3 2 2 4" xfId="20961" xr:uid="{00000000-0005-0000-0000-0000D0360000}"/>
    <cellStyle name="40% - Accent2 7 3 2 3" xfId="6814" xr:uid="{00000000-0005-0000-0000-0000D1360000}"/>
    <cellStyle name="40% - Accent2 7 3 2 3 2" xfId="14786" xr:uid="{00000000-0005-0000-0000-0000D2360000}"/>
    <cellStyle name="40% - Accent2 7 3 2 3 3" xfId="22733" xr:uid="{00000000-0005-0000-0000-0000D3360000}"/>
    <cellStyle name="40% - Accent2 7 3 2 4" xfId="11250" xr:uid="{00000000-0005-0000-0000-0000D4360000}"/>
    <cellStyle name="40% - Accent2 7 3 2 5" xfId="19205" xr:uid="{00000000-0005-0000-0000-0000D5360000}"/>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3" xfId="23612" xr:uid="{00000000-0005-0000-0000-0000DA360000}"/>
    <cellStyle name="40% - Accent2 7 3 3 3" xfId="12128" xr:uid="{00000000-0005-0000-0000-0000DB360000}"/>
    <cellStyle name="40% - Accent2 7 3 3 4" xfId="20083" xr:uid="{00000000-0005-0000-0000-0000DC360000}"/>
    <cellStyle name="40% - Accent2 7 3 4" xfId="5923" xr:uid="{00000000-0005-0000-0000-0000DD360000}"/>
    <cellStyle name="40% - Accent2 7 3 4 2" xfId="13907" xr:uid="{00000000-0005-0000-0000-0000DE360000}"/>
    <cellStyle name="40% - Accent2 7 3 4 3" xfId="21855" xr:uid="{00000000-0005-0000-0000-0000DF360000}"/>
    <cellStyle name="40% - Accent2 7 3 5" xfId="9476" xr:uid="{00000000-0005-0000-0000-0000E0360000}"/>
    <cellStyle name="40% - Accent2 7 3 5 2" xfId="17434" xr:uid="{00000000-0005-0000-0000-0000E1360000}"/>
    <cellStyle name="40% - Accent2 7 3 5 3" xfId="25378" xr:uid="{00000000-0005-0000-0000-0000E2360000}"/>
    <cellStyle name="40% - Accent2 7 3 6" xfId="10372" xr:uid="{00000000-0005-0000-0000-0000E3360000}"/>
    <cellStyle name="40% - Accent2 7 3 7" xfId="18327" xr:uid="{00000000-0005-0000-0000-0000E4360000}"/>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3" xfId="24902" xr:uid="{00000000-0005-0000-0000-0000EB360000}"/>
    <cellStyle name="40% - Accent2 7 4 2 2 3" xfId="13418" xr:uid="{00000000-0005-0000-0000-0000EC360000}"/>
    <cellStyle name="40% - Accent2 7 4 2 2 4" xfId="21373" xr:uid="{00000000-0005-0000-0000-0000ED360000}"/>
    <cellStyle name="40% - Accent2 7 4 2 3" xfId="7226" xr:uid="{00000000-0005-0000-0000-0000EE360000}"/>
    <cellStyle name="40% - Accent2 7 4 2 3 2" xfId="15198" xr:uid="{00000000-0005-0000-0000-0000EF360000}"/>
    <cellStyle name="40% - Accent2 7 4 2 3 3" xfId="23145" xr:uid="{00000000-0005-0000-0000-0000F0360000}"/>
    <cellStyle name="40% - Accent2 7 4 2 4" xfId="11662" xr:uid="{00000000-0005-0000-0000-0000F1360000}"/>
    <cellStyle name="40% - Accent2 7 4 2 5" xfId="19617" xr:uid="{00000000-0005-0000-0000-0000F2360000}"/>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3" xfId="24024" xr:uid="{00000000-0005-0000-0000-0000F7360000}"/>
    <cellStyle name="40% - Accent2 7 4 3 3" xfId="12540" xr:uid="{00000000-0005-0000-0000-0000F8360000}"/>
    <cellStyle name="40% - Accent2 7 4 3 4" xfId="20495" xr:uid="{00000000-0005-0000-0000-0000F9360000}"/>
    <cellStyle name="40% - Accent2 7 4 4" xfId="6345" xr:uid="{00000000-0005-0000-0000-0000FA360000}"/>
    <cellStyle name="40% - Accent2 7 4 4 2" xfId="14320" xr:uid="{00000000-0005-0000-0000-0000FB360000}"/>
    <cellStyle name="40% - Accent2 7 4 4 3" xfId="22267" xr:uid="{00000000-0005-0000-0000-0000FC360000}"/>
    <cellStyle name="40% - Accent2 7 4 5" xfId="9888" xr:uid="{00000000-0005-0000-0000-0000FD360000}"/>
    <cellStyle name="40% - Accent2 7 4 5 2" xfId="17846" xr:uid="{00000000-0005-0000-0000-0000FE360000}"/>
    <cellStyle name="40% - Accent2 7 4 5 3" xfId="25790" xr:uid="{00000000-0005-0000-0000-0000FF360000}"/>
    <cellStyle name="40% - Accent2 7 4 6" xfId="10784" xr:uid="{00000000-0005-0000-0000-000000370000}"/>
    <cellStyle name="40% - Accent2 7 4 7" xfId="18739" xr:uid="{00000000-0005-0000-0000-000001370000}"/>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3" xfId="24487" xr:uid="{00000000-0005-0000-0000-000007370000}"/>
    <cellStyle name="40% - Accent2 7 5 2 3" xfId="13003" xr:uid="{00000000-0005-0000-0000-000008370000}"/>
    <cellStyle name="40% - Accent2 7 5 2 4" xfId="20958" xr:uid="{00000000-0005-0000-0000-000009370000}"/>
    <cellStyle name="40% - Accent2 7 5 3" xfId="6811" xr:uid="{00000000-0005-0000-0000-00000A370000}"/>
    <cellStyle name="40% - Accent2 7 5 3 2" xfId="14783" xr:uid="{00000000-0005-0000-0000-00000B370000}"/>
    <cellStyle name="40% - Accent2 7 5 3 3" xfId="22730" xr:uid="{00000000-0005-0000-0000-00000C370000}"/>
    <cellStyle name="40% - Accent2 7 5 4" xfId="11247" xr:uid="{00000000-0005-0000-0000-00000D370000}"/>
    <cellStyle name="40% - Accent2 7 5 5" xfId="19202" xr:uid="{00000000-0005-0000-0000-00000E370000}"/>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3" xfId="23609" xr:uid="{00000000-0005-0000-0000-000013370000}"/>
    <cellStyle name="40% - Accent2 7 6 3" xfId="12125" xr:uid="{00000000-0005-0000-0000-000014370000}"/>
    <cellStyle name="40% - Accent2 7 6 4" xfId="20080" xr:uid="{00000000-0005-0000-0000-000015370000}"/>
    <cellStyle name="40% - Accent2 7 7" xfId="5920" xr:uid="{00000000-0005-0000-0000-000016370000}"/>
    <cellStyle name="40% - Accent2 7 7 2" xfId="13904" xr:uid="{00000000-0005-0000-0000-000017370000}"/>
    <cellStyle name="40% - Accent2 7 7 3" xfId="21852" xr:uid="{00000000-0005-0000-0000-000018370000}"/>
    <cellStyle name="40% - Accent2 7 8" xfId="9473" xr:uid="{00000000-0005-0000-0000-000019370000}"/>
    <cellStyle name="40% - Accent2 7 8 2" xfId="17431" xr:uid="{00000000-0005-0000-0000-00001A370000}"/>
    <cellStyle name="40% - Accent2 7 8 3" xfId="25375" xr:uid="{00000000-0005-0000-0000-00001B370000}"/>
    <cellStyle name="40% - Accent2 7 9" xfId="10369" xr:uid="{00000000-0005-0000-0000-00001C370000}"/>
    <cellStyle name="40% - Accent2 7_Exh G" xfId="2903" xr:uid="{00000000-0005-0000-0000-00001D370000}"/>
    <cellStyle name="40% - Accent2 8" xfId="425" xr:uid="{00000000-0005-0000-0000-00001E370000}"/>
    <cellStyle name="40% - Accent2 8 10" xfId="18328" xr:uid="{00000000-0005-0000-0000-00001F370000}"/>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3" xfId="24493" xr:uid="{00000000-0005-0000-0000-000026370000}"/>
    <cellStyle name="40% - Accent2 8 2 2 2 2 3" xfId="13009" xr:uid="{00000000-0005-0000-0000-000027370000}"/>
    <cellStyle name="40% - Accent2 8 2 2 2 2 4" xfId="20964" xr:uid="{00000000-0005-0000-0000-000028370000}"/>
    <cellStyle name="40% - Accent2 8 2 2 2 3" xfId="6817" xr:uid="{00000000-0005-0000-0000-000029370000}"/>
    <cellStyle name="40% - Accent2 8 2 2 2 3 2" xfId="14789" xr:uid="{00000000-0005-0000-0000-00002A370000}"/>
    <cellStyle name="40% - Accent2 8 2 2 2 3 3" xfId="22736" xr:uid="{00000000-0005-0000-0000-00002B370000}"/>
    <cellStyle name="40% - Accent2 8 2 2 2 4" xfId="11253" xr:uid="{00000000-0005-0000-0000-00002C370000}"/>
    <cellStyle name="40% - Accent2 8 2 2 2 5" xfId="19208" xr:uid="{00000000-0005-0000-0000-00002D370000}"/>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3" xfId="23615" xr:uid="{00000000-0005-0000-0000-000032370000}"/>
    <cellStyle name="40% - Accent2 8 2 2 3 3" xfId="12131" xr:uid="{00000000-0005-0000-0000-000033370000}"/>
    <cellStyle name="40% - Accent2 8 2 2 3 4" xfId="20086" xr:uid="{00000000-0005-0000-0000-000034370000}"/>
    <cellStyle name="40% - Accent2 8 2 2 4" xfId="5926" xr:uid="{00000000-0005-0000-0000-000035370000}"/>
    <cellStyle name="40% - Accent2 8 2 2 4 2" xfId="13910" xr:uid="{00000000-0005-0000-0000-000036370000}"/>
    <cellStyle name="40% - Accent2 8 2 2 4 3" xfId="21858" xr:uid="{00000000-0005-0000-0000-000037370000}"/>
    <cellStyle name="40% - Accent2 8 2 2 5" xfId="9479" xr:uid="{00000000-0005-0000-0000-000038370000}"/>
    <cellStyle name="40% - Accent2 8 2 2 5 2" xfId="17437" xr:uid="{00000000-0005-0000-0000-000039370000}"/>
    <cellStyle name="40% - Accent2 8 2 2 5 3" xfId="25381" xr:uid="{00000000-0005-0000-0000-00003A370000}"/>
    <cellStyle name="40% - Accent2 8 2 2 6" xfId="10375" xr:uid="{00000000-0005-0000-0000-00003B370000}"/>
    <cellStyle name="40% - Accent2 8 2 2 7" xfId="18330" xr:uid="{00000000-0005-0000-0000-00003C370000}"/>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3" xfId="24492" xr:uid="{00000000-0005-0000-0000-000042370000}"/>
    <cellStyle name="40% - Accent2 8 2 3 2 3" xfId="13008" xr:uid="{00000000-0005-0000-0000-000043370000}"/>
    <cellStyle name="40% - Accent2 8 2 3 2 4" xfId="20963" xr:uid="{00000000-0005-0000-0000-000044370000}"/>
    <cellStyle name="40% - Accent2 8 2 3 3" xfId="6816" xr:uid="{00000000-0005-0000-0000-000045370000}"/>
    <cellStyle name="40% - Accent2 8 2 3 3 2" xfId="14788" xr:uid="{00000000-0005-0000-0000-000046370000}"/>
    <cellStyle name="40% - Accent2 8 2 3 3 3" xfId="22735" xr:uid="{00000000-0005-0000-0000-000047370000}"/>
    <cellStyle name="40% - Accent2 8 2 3 4" xfId="11252" xr:uid="{00000000-0005-0000-0000-000048370000}"/>
    <cellStyle name="40% - Accent2 8 2 3 5" xfId="19207" xr:uid="{00000000-0005-0000-0000-000049370000}"/>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3" xfId="23614" xr:uid="{00000000-0005-0000-0000-00004E370000}"/>
    <cellStyle name="40% - Accent2 8 2 4 3" xfId="12130" xr:uid="{00000000-0005-0000-0000-00004F370000}"/>
    <cellStyle name="40% - Accent2 8 2 4 4" xfId="20085" xr:uid="{00000000-0005-0000-0000-000050370000}"/>
    <cellStyle name="40% - Accent2 8 2 5" xfId="5925" xr:uid="{00000000-0005-0000-0000-000051370000}"/>
    <cellStyle name="40% - Accent2 8 2 5 2" xfId="13909" xr:uid="{00000000-0005-0000-0000-000052370000}"/>
    <cellStyle name="40% - Accent2 8 2 5 3" xfId="21857" xr:uid="{00000000-0005-0000-0000-000053370000}"/>
    <cellStyle name="40% - Accent2 8 2 6" xfId="9478" xr:uid="{00000000-0005-0000-0000-000054370000}"/>
    <cellStyle name="40% - Accent2 8 2 6 2" xfId="17436" xr:uid="{00000000-0005-0000-0000-000055370000}"/>
    <cellStyle name="40% - Accent2 8 2 6 3" xfId="25380" xr:uid="{00000000-0005-0000-0000-000056370000}"/>
    <cellStyle name="40% - Accent2 8 2 7" xfId="10374" xr:uid="{00000000-0005-0000-0000-000057370000}"/>
    <cellStyle name="40% - Accent2 8 2 8" xfId="18329" xr:uid="{00000000-0005-0000-0000-000058370000}"/>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3" xfId="24494" xr:uid="{00000000-0005-0000-0000-00005F370000}"/>
    <cellStyle name="40% - Accent2 8 3 2 2 3" xfId="13010" xr:uid="{00000000-0005-0000-0000-000060370000}"/>
    <cellStyle name="40% - Accent2 8 3 2 2 4" xfId="20965" xr:uid="{00000000-0005-0000-0000-000061370000}"/>
    <cellStyle name="40% - Accent2 8 3 2 3" xfId="6818" xr:uid="{00000000-0005-0000-0000-000062370000}"/>
    <cellStyle name="40% - Accent2 8 3 2 3 2" xfId="14790" xr:uid="{00000000-0005-0000-0000-000063370000}"/>
    <cellStyle name="40% - Accent2 8 3 2 3 3" xfId="22737" xr:uid="{00000000-0005-0000-0000-000064370000}"/>
    <cellStyle name="40% - Accent2 8 3 2 4" xfId="11254" xr:uid="{00000000-0005-0000-0000-000065370000}"/>
    <cellStyle name="40% - Accent2 8 3 2 5" xfId="19209" xr:uid="{00000000-0005-0000-0000-000066370000}"/>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3" xfId="23616" xr:uid="{00000000-0005-0000-0000-00006B370000}"/>
    <cellStyle name="40% - Accent2 8 3 3 3" xfId="12132" xr:uid="{00000000-0005-0000-0000-00006C370000}"/>
    <cellStyle name="40% - Accent2 8 3 3 4" xfId="20087" xr:uid="{00000000-0005-0000-0000-00006D370000}"/>
    <cellStyle name="40% - Accent2 8 3 4" xfId="5927" xr:uid="{00000000-0005-0000-0000-00006E370000}"/>
    <cellStyle name="40% - Accent2 8 3 4 2" xfId="13911" xr:uid="{00000000-0005-0000-0000-00006F370000}"/>
    <cellStyle name="40% - Accent2 8 3 4 3" xfId="21859" xr:uid="{00000000-0005-0000-0000-000070370000}"/>
    <cellStyle name="40% - Accent2 8 3 5" xfId="9480" xr:uid="{00000000-0005-0000-0000-000071370000}"/>
    <cellStyle name="40% - Accent2 8 3 5 2" xfId="17438" xr:uid="{00000000-0005-0000-0000-000072370000}"/>
    <cellStyle name="40% - Accent2 8 3 5 3" xfId="25382" xr:uid="{00000000-0005-0000-0000-000073370000}"/>
    <cellStyle name="40% - Accent2 8 3 6" xfId="10376" xr:uid="{00000000-0005-0000-0000-000074370000}"/>
    <cellStyle name="40% - Accent2 8 3 7" xfId="18331" xr:uid="{00000000-0005-0000-0000-000075370000}"/>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3" xfId="24903" xr:uid="{00000000-0005-0000-0000-00007C370000}"/>
    <cellStyle name="40% - Accent2 8 4 2 2 3" xfId="13419" xr:uid="{00000000-0005-0000-0000-00007D370000}"/>
    <cellStyle name="40% - Accent2 8 4 2 2 4" xfId="21374" xr:uid="{00000000-0005-0000-0000-00007E370000}"/>
    <cellStyle name="40% - Accent2 8 4 2 3" xfId="7227" xr:uid="{00000000-0005-0000-0000-00007F370000}"/>
    <cellStyle name="40% - Accent2 8 4 2 3 2" xfId="15199" xr:uid="{00000000-0005-0000-0000-000080370000}"/>
    <cellStyle name="40% - Accent2 8 4 2 3 3" xfId="23146" xr:uid="{00000000-0005-0000-0000-000081370000}"/>
    <cellStyle name="40% - Accent2 8 4 2 4" xfId="11663" xr:uid="{00000000-0005-0000-0000-000082370000}"/>
    <cellStyle name="40% - Accent2 8 4 2 5" xfId="19618" xr:uid="{00000000-0005-0000-0000-000083370000}"/>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3" xfId="24025" xr:uid="{00000000-0005-0000-0000-000088370000}"/>
    <cellStyle name="40% - Accent2 8 4 3 3" xfId="12541" xr:uid="{00000000-0005-0000-0000-000089370000}"/>
    <cellStyle name="40% - Accent2 8 4 3 4" xfId="20496" xr:uid="{00000000-0005-0000-0000-00008A370000}"/>
    <cellStyle name="40% - Accent2 8 4 4" xfId="6346" xr:uid="{00000000-0005-0000-0000-00008B370000}"/>
    <cellStyle name="40% - Accent2 8 4 4 2" xfId="14321" xr:uid="{00000000-0005-0000-0000-00008C370000}"/>
    <cellStyle name="40% - Accent2 8 4 4 3" xfId="22268" xr:uid="{00000000-0005-0000-0000-00008D370000}"/>
    <cellStyle name="40% - Accent2 8 4 5" xfId="9889" xr:uid="{00000000-0005-0000-0000-00008E370000}"/>
    <cellStyle name="40% - Accent2 8 4 5 2" xfId="17847" xr:uid="{00000000-0005-0000-0000-00008F370000}"/>
    <cellStyle name="40% - Accent2 8 4 5 3" xfId="25791" xr:uid="{00000000-0005-0000-0000-000090370000}"/>
    <cellStyle name="40% - Accent2 8 4 6" xfId="10785" xr:uid="{00000000-0005-0000-0000-000091370000}"/>
    <cellStyle name="40% - Accent2 8 4 7" xfId="18740" xr:uid="{00000000-0005-0000-0000-00009237000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3" xfId="24491" xr:uid="{00000000-0005-0000-0000-000098370000}"/>
    <cellStyle name="40% - Accent2 8 5 2 3" xfId="13007" xr:uid="{00000000-0005-0000-0000-000099370000}"/>
    <cellStyle name="40% - Accent2 8 5 2 4" xfId="20962" xr:uid="{00000000-0005-0000-0000-00009A370000}"/>
    <cellStyle name="40% - Accent2 8 5 3" xfId="6815" xr:uid="{00000000-0005-0000-0000-00009B370000}"/>
    <cellStyle name="40% - Accent2 8 5 3 2" xfId="14787" xr:uid="{00000000-0005-0000-0000-00009C370000}"/>
    <cellStyle name="40% - Accent2 8 5 3 3" xfId="22734" xr:uid="{00000000-0005-0000-0000-00009D370000}"/>
    <cellStyle name="40% - Accent2 8 5 4" xfId="11251" xr:uid="{00000000-0005-0000-0000-00009E370000}"/>
    <cellStyle name="40% - Accent2 8 5 5" xfId="19206" xr:uid="{00000000-0005-0000-0000-00009F370000}"/>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3" xfId="23613" xr:uid="{00000000-0005-0000-0000-0000A4370000}"/>
    <cellStyle name="40% - Accent2 8 6 3" xfId="12129" xr:uid="{00000000-0005-0000-0000-0000A5370000}"/>
    <cellStyle name="40% - Accent2 8 6 4" xfId="20084" xr:uid="{00000000-0005-0000-0000-0000A6370000}"/>
    <cellStyle name="40% - Accent2 8 7" xfId="5924" xr:uid="{00000000-0005-0000-0000-0000A7370000}"/>
    <cellStyle name="40% - Accent2 8 7 2" xfId="13908" xr:uid="{00000000-0005-0000-0000-0000A8370000}"/>
    <cellStyle name="40% - Accent2 8 7 3" xfId="21856" xr:uid="{00000000-0005-0000-0000-0000A9370000}"/>
    <cellStyle name="40% - Accent2 8 8" xfId="9477" xr:uid="{00000000-0005-0000-0000-0000AA370000}"/>
    <cellStyle name="40% - Accent2 8 8 2" xfId="17435" xr:uid="{00000000-0005-0000-0000-0000AB370000}"/>
    <cellStyle name="40% - Accent2 8 8 3" xfId="25379" xr:uid="{00000000-0005-0000-0000-0000AC370000}"/>
    <cellStyle name="40% - Accent2 8 9" xfId="10373" xr:uid="{00000000-0005-0000-0000-0000AD370000}"/>
    <cellStyle name="40% - Accent2 8_Exh G" xfId="2913" xr:uid="{00000000-0005-0000-0000-0000AE370000}"/>
    <cellStyle name="40% - Accent2 9" xfId="429" xr:uid="{00000000-0005-0000-0000-0000AF370000}"/>
    <cellStyle name="40% - Accent2 9 10" xfId="18332" xr:uid="{00000000-0005-0000-0000-0000B0370000}"/>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3" xfId="24497" xr:uid="{00000000-0005-0000-0000-0000B7370000}"/>
    <cellStyle name="40% - Accent2 9 2 2 2 2 3" xfId="13013" xr:uid="{00000000-0005-0000-0000-0000B8370000}"/>
    <cellStyle name="40% - Accent2 9 2 2 2 2 4" xfId="20968" xr:uid="{00000000-0005-0000-0000-0000B9370000}"/>
    <cellStyle name="40% - Accent2 9 2 2 2 3" xfId="6821" xr:uid="{00000000-0005-0000-0000-0000BA370000}"/>
    <cellStyle name="40% - Accent2 9 2 2 2 3 2" xfId="14793" xr:uid="{00000000-0005-0000-0000-0000BB370000}"/>
    <cellStyle name="40% - Accent2 9 2 2 2 3 3" xfId="22740" xr:uid="{00000000-0005-0000-0000-0000BC370000}"/>
    <cellStyle name="40% - Accent2 9 2 2 2 4" xfId="11257" xr:uid="{00000000-0005-0000-0000-0000BD370000}"/>
    <cellStyle name="40% - Accent2 9 2 2 2 5" xfId="19212" xr:uid="{00000000-0005-0000-0000-0000BE370000}"/>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3" xfId="23619" xr:uid="{00000000-0005-0000-0000-0000C3370000}"/>
    <cellStyle name="40% - Accent2 9 2 2 3 3" xfId="12135" xr:uid="{00000000-0005-0000-0000-0000C4370000}"/>
    <cellStyle name="40% - Accent2 9 2 2 3 4" xfId="20090" xr:uid="{00000000-0005-0000-0000-0000C5370000}"/>
    <cellStyle name="40% - Accent2 9 2 2 4" xfId="5930" xr:uid="{00000000-0005-0000-0000-0000C6370000}"/>
    <cellStyle name="40% - Accent2 9 2 2 4 2" xfId="13914" xr:uid="{00000000-0005-0000-0000-0000C7370000}"/>
    <cellStyle name="40% - Accent2 9 2 2 4 3" xfId="21862" xr:uid="{00000000-0005-0000-0000-0000C8370000}"/>
    <cellStyle name="40% - Accent2 9 2 2 5" xfId="9483" xr:uid="{00000000-0005-0000-0000-0000C9370000}"/>
    <cellStyle name="40% - Accent2 9 2 2 5 2" xfId="17441" xr:uid="{00000000-0005-0000-0000-0000CA370000}"/>
    <cellStyle name="40% - Accent2 9 2 2 5 3" xfId="25385" xr:uid="{00000000-0005-0000-0000-0000CB370000}"/>
    <cellStyle name="40% - Accent2 9 2 2 6" xfId="10379" xr:uid="{00000000-0005-0000-0000-0000CC370000}"/>
    <cellStyle name="40% - Accent2 9 2 2 7" xfId="18334" xr:uid="{00000000-0005-0000-0000-0000CD370000}"/>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3" xfId="24496" xr:uid="{00000000-0005-0000-0000-0000D3370000}"/>
    <cellStyle name="40% - Accent2 9 2 3 2 3" xfId="13012" xr:uid="{00000000-0005-0000-0000-0000D4370000}"/>
    <cellStyle name="40% - Accent2 9 2 3 2 4" xfId="20967" xr:uid="{00000000-0005-0000-0000-0000D5370000}"/>
    <cellStyle name="40% - Accent2 9 2 3 3" xfId="6820" xr:uid="{00000000-0005-0000-0000-0000D6370000}"/>
    <cellStyle name="40% - Accent2 9 2 3 3 2" xfId="14792" xr:uid="{00000000-0005-0000-0000-0000D7370000}"/>
    <cellStyle name="40% - Accent2 9 2 3 3 3" xfId="22739" xr:uid="{00000000-0005-0000-0000-0000D8370000}"/>
    <cellStyle name="40% - Accent2 9 2 3 4" xfId="11256" xr:uid="{00000000-0005-0000-0000-0000D9370000}"/>
    <cellStyle name="40% - Accent2 9 2 3 5" xfId="19211" xr:uid="{00000000-0005-0000-0000-0000DA370000}"/>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3" xfId="23618" xr:uid="{00000000-0005-0000-0000-0000DF370000}"/>
    <cellStyle name="40% - Accent2 9 2 4 3" xfId="12134" xr:uid="{00000000-0005-0000-0000-0000E0370000}"/>
    <cellStyle name="40% - Accent2 9 2 4 4" xfId="20089" xr:uid="{00000000-0005-0000-0000-0000E1370000}"/>
    <cellStyle name="40% - Accent2 9 2 5" xfId="5929" xr:uid="{00000000-0005-0000-0000-0000E2370000}"/>
    <cellStyle name="40% - Accent2 9 2 5 2" xfId="13913" xr:uid="{00000000-0005-0000-0000-0000E3370000}"/>
    <cellStyle name="40% - Accent2 9 2 5 3" xfId="21861" xr:uid="{00000000-0005-0000-0000-0000E4370000}"/>
    <cellStyle name="40% - Accent2 9 2 6" xfId="9482" xr:uid="{00000000-0005-0000-0000-0000E5370000}"/>
    <cellStyle name="40% - Accent2 9 2 6 2" xfId="17440" xr:uid="{00000000-0005-0000-0000-0000E6370000}"/>
    <cellStyle name="40% - Accent2 9 2 6 3" xfId="25384" xr:uid="{00000000-0005-0000-0000-0000E7370000}"/>
    <cellStyle name="40% - Accent2 9 2 7" xfId="10378" xr:uid="{00000000-0005-0000-0000-0000E8370000}"/>
    <cellStyle name="40% - Accent2 9 2 8" xfId="18333" xr:uid="{00000000-0005-0000-0000-0000E9370000}"/>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3" xfId="24498" xr:uid="{00000000-0005-0000-0000-0000F0370000}"/>
    <cellStyle name="40% - Accent2 9 3 2 2 3" xfId="13014" xr:uid="{00000000-0005-0000-0000-0000F1370000}"/>
    <cellStyle name="40% - Accent2 9 3 2 2 4" xfId="20969" xr:uid="{00000000-0005-0000-0000-0000F2370000}"/>
    <cellStyle name="40% - Accent2 9 3 2 3" xfId="6822" xr:uid="{00000000-0005-0000-0000-0000F3370000}"/>
    <cellStyle name="40% - Accent2 9 3 2 3 2" xfId="14794" xr:uid="{00000000-0005-0000-0000-0000F4370000}"/>
    <cellStyle name="40% - Accent2 9 3 2 3 3" xfId="22741" xr:uid="{00000000-0005-0000-0000-0000F5370000}"/>
    <cellStyle name="40% - Accent2 9 3 2 4" xfId="11258" xr:uid="{00000000-0005-0000-0000-0000F6370000}"/>
    <cellStyle name="40% - Accent2 9 3 2 5" xfId="19213" xr:uid="{00000000-0005-0000-0000-0000F7370000}"/>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3" xfId="23620" xr:uid="{00000000-0005-0000-0000-0000FC370000}"/>
    <cellStyle name="40% - Accent2 9 3 3 3" xfId="12136" xr:uid="{00000000-0005-0000-0000-0000FD370000}"/>
    <cellStyle name="40% - Accent2 9 3 3 4" xfId="20091" xr:uid="{00000000-0005-0000-0000-0000FE370000}"/>
    <cellStyle name="40% - Accent2 9 3 4" xfId="5931" xr:uid="{00000000-0005-0000-0000-0000FF370000}"/>
    <cellStyle name="40% - Accent2 9 3 4 2" xfId="13915" xr:uid="{00000000-0005-0000-0000-000000380000}"/>
    <cellStyle name="40% - Accent2 9 3 4 3" xfId="21863" xr:uid="{00000000-0005-0000-0000-000001380000}"/>
    <cellStyle name="40% - Accent2 9 3 5" xfId="9484" xr:uid="{00000000-0005-0000-0000-000002380000}"/>
    <cellStyle name="40% - Accent2 9 3 5 2" xfId="17442" xr:uid="{00000000-0005-0000-0000-000003380000}"/>
    <cellStyle name="40% - Accent2 9 3 5 3" xfId="25386" xr:uid="{00000000-0005-0000-0000-000004380000}"/>
    <cellStyle name="40% - Accent2 9 3 6" xfId="10380" xr:uid="{00000000-0005-0000-0000-000005380000}"/>
    <cellStyle name="40% - Accent2 9 3 7" xfId="18335" xr:uid="{00000000-0005-0000-0000-000006380000}"/>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3" xfId="24904" xr:uid="{00000000-0005-0000-0000-00000D380000}"/>
    <cellStyle name="40% - Accent2 9 4 2 2 3" xfId="13420" xr:uid="{00000000-0005-0000-0000-00000E380000}"/>
    <cellStyle name="40% - Accent2 9 4 2 2 4" xfId="21375" xr:uid="{00000000-0005-0000-0000-00000F380000}"/>
    <cellStyle name="40% - Accent2 9 4 2 3" xfId="7228" xr:uid="{00000000-0005-0000-0000-000010380000}"/>
    <cellStyle name="40% - Accent2 9 4 2 3 2" xfId="15200" xr:uid="{00000000-0005-0000-0000-000011380000}"/>
    <cellStyle name="40% - Accent2 9 4 2 3 3" xfId="23147" xr:uid="{00000000-0005-0000-0000-000012380000}"/>
    <cellStyle name="40% - Accent2 9 4 2 4" xfId="11664" xr:uid="{00000000-0005-0000-0000-000013380000}"/>
    <cellStyle name="40% - Accent2 9 4 2 5" xfId="19619" xr:uid="{00000000-0005-0000-0000-00001438000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3" xfId="24026" xr:uid="{00000000-0005-0000-0000-000019380000}"/>
    <cellStyle name="40% - Accent2 9 4 3 3" xfId="12542" xr:uid="{00000000-0005-0000-0000-00001A380000}"/>
    <cellStyle name="40% - Accent2 9 4 3 4" xfId="20497" xr:uid="{00000000-0005-0000-0000-00001B380000}"/>
    <cellStyle name="40% - Accent2 9 4 4" xfId="6347" xr:uid="{00000000-0005-0000-0000-00001C380000}"/>
    <cellStyle name="40% - Accent2 9 4 4 2" xfId="14322" xr:uid="{00000000-0005-0000-0000-00001D380000}"/>
    <cellStyle name="40% - Accent2 9 4 4 3" xfId="22269" xr:uid="{00000000-0005-0000-0000-00001E380000}"/>
    <cellStyle name="40% - Accent2 9 4 5" xfId="9890" xr:uid="{00000000-0005-0000-0000-00001F380000}"/>
    <cellStyle name="40% - Accent2 9 4 5 2" xfId="17848" xr:uid="{00000000-0005-0000-0000-000020380000}"/>
    <cellStyle name="40% - Accent2 9 4 5 3" xfId="25792" xr:uid="{00000000-0005-0000-0000-000021380000}"/>
    <cellStyle name="40% - Accent2 9 4 6" xfId="10786" xr:uid="{00000000-0005-0000-0000-000022380000}"/>
    <cellStyle name="40% - Accent2 9 4 7" xfId="18741" xr:uid="{00000000-0005-0000-0000-000023380000}"/>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3" xfId="24495" xr:uid="{00000000-0005-0000-0000-000029380000}"/>
    <cellStyle name="40% - Accent2 9 5 2 3" xfId="13011" xr:uid="{00000000-0005-0000-0000-00002A380000}"/>
    <cellStyle name="40% - Accent2 9 5 2 4" xfId="20966" xr:uid="{00000000-0005-0000-0000-00002B380000}"/>
    <cellStyle name="40% - Accent2 9 5 3" xfId="6819" xr:uid="{00000000-0005-0000-0000-00002C380000}"/>
    <cellStyle name="40% - Accent2 9 5 3 2" xfId="14791" xr:uid="{00000000-0005-0000-0000-00002D380000}"/>
    <cellStyle name="40% - Accent2 9 5 3 3" xfId="22738" xr:uid="{00000000-0005-0000-0000-00002E380000}"/>
    <cellStyle name="40% - Accent2 9 5 4" xfId="11255" xr:uid="{00000000-0005-0000-0000-00002F380000}"/>
    <cellStyle name="40% - Accent2 9 5 5" xfId="19210" xr:uid="{00000000-0005-0000-0000-00003038000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3" xfId="23617" xr:uid="{00000000-0005-0000-0000-000035380000}"/>
    <cellStyle name="40% - Accent2 9 6 3" xfId="12133" xr:uid="{00000000-0005-0000-0000-000036380000}"/>
    <cellStyle name="40% - Accent2 9 6 4" xfId="20088" xr:uid="{00000000-0005-0000-0000-000037380000}"/>
    <cellStyle name="40% - Accent2 9 7" xfId="5928" xr:uid="{00000000-0005-0000-0000-000038380000}"/>
    <cellStyle name="40% - Accent2 9 7 2" xfId="13912" xr:uid="{00000000-0005-0000-0000-000039380000}"/>
    <cellStyle name="40% - Accent2 9 7 3" xfId="21860" xr:uid="{00000000-0005-0000-0000-00003A380000}"/>
    <cellStyle name="40% - Accent2 9 8" xfId="9481" xr:uid="{00000000-0005-0000-0000-00003B380000}"/>
    <cellStyle name="40% - Accent2 9 8 2" xfId="17439" xr:uid="{00000000-0005-0000-0000-00003C380000}"/>
    <cellStyle name="40% - Accent2 9 8 3" xfId="25383" xr:uid="{00000000-0005-0000-0000-00003D380000}"/>
    <cellStyle name="40% - Accent2 9 9" xfId="10377" xr:uid="{00000000-0005-0000-0000-00003E380000}"/>
    <cellStyle name="40% - Accent2 9_Exh G" xfId="2923" xr:uid="{00000000-0005-0000-0000-00003F380000}"/>
    <cellStyle name="40% - Accent3 10" xfId="433" xr:uid="{00000000-0005-0000-0000-000040380000}"/>
    <cellStyle name="40% - Accent3 10 10" xfId="18336" xr:uid="{00000000-0005-0000-0000-00004138000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3" xfId="24501" xr:uid="{00000000-0005-0000-0000-000048380000}"/>
    <cellStyle name="40% - Accent3 10 2 2 2 2 3" xfId="13017" xr:uid="{00000000-0005-0000-0000-000049380000}"/>
    <cellStyle name="40% - Accent3 10 2 2 2 2 4" xfId="20972" xr:uid="{00000000-0005-0000-0000-00004A380000}"/>
    <cellStyle name="40% - Accent3 10 2 2 2 3" xfId="6825" xr:uid="{00000000-0005-0000-0000-00004B380000}"/>
    <cellStyle name="40% - Accent3 10 2 2 2 3 2" xfId="14797" xr:uid="{00000000-0005-0000-0000-00004C380000}"/>
    <cellStyle name="40% - Accent3 10 2 2 2 3 3" xfId="22744" xr:uid="{00000000-0005-0000-0000-00004D380000}"/>
    <cellStyle name="40% - Accent3 10 2 2 2 4" xfId="11261" xr:uid="{00000000-0005-0000-0000-00004E380000}"/>
    <cellStyle name="40% - Accent3 10 2 2 2 5" xfId="19216" xr:uid="{00000000-0005-0000-0000-00004F380000}"/>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3" xfId="23623" xr:uid="{00000000-0005-0000-0000-000054380000}"/>
    <cellStyle name="40% - Accent3 10 2 2 3 3" xfId="12139" xr:uid="{00000000-0005-0000-0000-000055380000}"/>
    <cellStyle name="40% - Accent3 10 2 2 3 4" xfId="20094" xr:uid="{00000000-0005-0000-0000-000056380000}"/>
    <cellStyle name="40% - Accent3 10 2 2 4" xfId="5934" xr:uid="{00000000-0005-0000-0000-000057380000}"/>
    <cellStyle name="40% - Accent3 10 2 2 4 2" xfId="13918" xr:uid="{00000000-0005-0000-0000-000058380000}"/>
    <cellStyle name="40% - Accent3 10 2 2 4 3" xfId="21866" xr:uid="{00000000-0005-0000-0000-000059380000}"/>
    <cellStyle name="40% - Accent3 10 2 2 5" xfId="9487" xr:uid="{00000000-0005-0000-0000-00005A380000}"/>
    <cellStyle name="40% - Accent3 10 2 2 5 2" xfId="17445" xr:uid="{00000000-0005-0000-0000-00005B380000}"/>
    <cellStyle name="40% - Accent3 10 2 2 5 3" xfId="25389" xr:uid="{00000000-0005-0000-0000-00005C380000}"/>
    <cellStyle name="40% - Accent3 10 2 2 6" xfId="10383" xr:uid="{00000000-0005-0000-0000-00005D380000}"/>
    <cellStyle name="40% - Accent3 10 2 2 7" xfId="18338" xr:uid="{00000000-0005-0000-0000-00005E380000}"/>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3" xfId="24500" xr:uid="{00000000-0005-0000-0000-000064380000}"/>
    <cellStyle name="40% - Accent3 10 2 3 2 3" xfId="13016" xr:uid="{00000000-0005-0000-0000-000065380000}"/>
    <cellStyle name="40% - Accent3 10 2 3 2 4" xfId="20971" xr:uid="{00000000-0005-0000-0000-000066380000}"/>
    <cellStyle name="40% - Accent3 10 2 3 3" xfId="6824" xr:uid="{00000000-0005-0000-0000-000067380000}"/>
    <cellStyle name="40% - Accent3 10 2 3 3 2" xfId="14796" xr:uid="{00000000-0005-0000-0000-000068380000}"/>
    <cellStyle name="40% - Accent3 10 2 3 3 3" xfId="22743" xr:uid="{00000000-0005-0000-0000-000069380000}"/>
    <cellStyle name="40% - Accent3 10 2 3 4" xfId="11260" xr:uid="{00000000-0005-0000-0000-00006A380000}"/>
    <cellStyle name="40% - Accent3 10 2 3 5" xfId="19215" xr:uid="{00000000-0005-0000-0000-00006B380000}"/>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3" xfId="23622" xr:uid="{00000000-0005-0000-0000-000070380000}"/>
    <cellStyle name="40% - Accent3 10 2 4 3" xfId="12138" xr:uid="{00000000-0005-0000-0000-000071380000}"/>
    <cellStyle name="40% - Accent3 10 2 4 4" xfId="20093" xr:uid="{00000000-0005-0000-0000-000072380000}"/>
    <cellStyle name="40% - Accent3 10 2 5" xfId="5933" xr:uid="{00000000-0005-0000-0000-000073380000}"/>
    <cellStyle name="40% - Accent3 10 2 5 2" xfId="13917" xr:uid="{00000000-0005-0000-0000-000074380000}"/>
    <cellStyle name="40% - Accent3 10 2 5 3" xfId="21865" xr:uid="{00000000-0005-0000-0000-000075380000}"/>
    <cellStyle name="40% - Accent3 10 2 6" xfId="9486" xr:uid="{00000000-0005-0000-0000-000076380000}"/>
    <cellStyle name="40% - Accent3 10 2 6 2" xfId="17444" xr:uid="{00000000-0005-0000-0000-000077380000}"/>
    <cellStyle name="40% - Accent3 10 2 6 3" xfId="25388" xr:uid="{00000000-0005-0000-0000-000078380000}"/>
    <cellStyle name="40% - Accent3 10 2 7" xfId="10382" xr:uid="{00000000-0005-0000-0000-000079380000}"/>
    <cellStyle name="40% - Accent3 10 2 8" xfId="18337" xr:uid="{00000000-0005-0000-0000-00007A380000}"/>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3" xfId="24502" xr:uid="{00000000-0005-0000-0000-000081380000}"/>
    <cellStyle name="40% - Accent3 10 3 2 2 3" xfId="13018" xr:uid="{00000000-0005-0000-0000-000082380000}"/>
    <cellStyle name="40% - Accent3 10 3 2 2 4" xfId="20973" xr:uid="{00000000-0005-0000-0000-000083380000}"/>
    <cellStyle name="40% - Accent3 10 3 2 3" xfId="6826" xr:uid="{00000000-0005-0000-0000-000084380000}"/>
    <cellStyle name="40% - Accent3 10 3 2 3 2" xfId="14798" xr:uid="{00000000-0005-0000-0000-000085380000}"/>
    <cellStyle name="40% - Accent3 10 3 2 3 3" xfId="22745" xr:uid="{00000000-0005-0000-0000-000086380000}"/>
    <cellStyle name="40% - Accent3 10 3 2 4" xfId="11262" xr:uid="{00000000-0005-0000-0000-000087380000}"/>
    <cellStyle name="40% - Accent3 10 3 2 5" xfId="19217" xr:uid="{00000000-0005-0000-0000-000088380000}"/>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3" xfId="23624" xr:uid="{00000000-0005-0000-0000-00008D380000}"/>
    <cellStyle name="40% - Accent3 10 3 3 3" xfId="12140" xr:uid="{00000000-0005-0000-0000-00008E380000}"/>
    <cellStyle name="40% - Accent3 10 3 3 4" xfId="20095" xr:uid="{00000000-0005-0000-0000-00008F380000}"/>
    <cellStyle name="40% - Accent3 10 3 4" xfId="5935" xr:uid="{00000000-0005-0000-0000-000090380000}"/>
    <cellStyle name="40% - Accent3 10 3 4 2" xfId="13919" xr:uid="{00000000-0005-0000-0000-000091380000}"/>
    <cellStyle name="40% - Accent3 10 3 4 3" xfId="21867" xr:uid="{00000000-0005-0000-0000-000092380000}"/>
    <cellStyle name="40% - Accent3 10 3 5" xfId="9488" xr:uid="{00000000-0005-0000-0000-000093380000}"/>
    <cellStyle name="40% - Accent3 10 3 5 2" xfId="17446" xr:uid="{00000000-0005-0000-0000-000094380000}"/>
    <cellStyle name="40% - Accent3 10 3 5 3" xfId="25390" xr:uid="{00000000-0005-0000-0000-000095380000}"/>
    <cellStyle name="40% - Accent3 10 3 6" xfId="10384" xr:uid="{00000000-0005-0000-0000-000096380000}"/>
    <cellStyle name="40% - Accent3 10 3 7" xfId="18339" xr:uid="{00000000-0005-0000-0000-000097380000}"/>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3" xfId="24499" xr:uid="{00000000-0005-0000-0000-00009E380000}"/>
    <cellStyle name="40% - Accent3 10 5 2 3" xfId="13015" xr:uid="{00000000-0005-0000-0000-00009F380000}"/>
    <cellStyle name="40% - Accent3 10 5 2 4" xfId="20970" xr:uid="{00000000-0005-0000-0000-0000A0380000}"/>
    <cellStyle name="40% - Accent3 10 5 3" xfId="6823" xr:uid="{00000000-0005-0000-0000-0000A1380000}"/>
    <cellStyle name="40% - Accent3 10 5 3 2" xfId="14795" xr:uid="{00000000-0005-0000-0000-0000A2380000}"/>
    <cellStyle name="40% - Accent3 10 5 3 3" xfId="22742" xr:uid="{00000000-0005-0000-0000-0000A3380000}"/>
    <cellStyle name="40% - Accent3 10 5 4" xfId="11259" xr:uid="{00000000-0005-0000-0000-0000A4380000}"/>
    <cellStyle name="40% - Accent3 10 5 5" xfId="19214" xr:uid="{00000000-0005-0000-0000-0000A5380000}"/>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3" xfId="23621" xr:uid="{00000000-0005-0000-0000-0000AA380000}"/>
    <cellStyle name="40% - Accent3 10 6 3" xfId="12137" xr:uid="{00000000-0005-0000-0000-0000AB380000}"/>
    <cellStyle name="40% - Accent3 10 6 4" xfId="20092" xr:uid="{00000000-0005-0000-0000-0000AC380000}"/>
    <cellStyle name="40% - Accent3 10 7" xfId="5932" xr:uid="{00000000-0005-0000-0000-0000AD380000}"/>
    <cellStyle name="40% - Accent3 10 7 2" xfId="13916" xr:uid="{00000000-0005-0000-0000-0000AE380000}"/>
    <cellStyle name="40% - Accent3 10 7 3" xfId="21864" xr:uid="{00000000-0005-0000-0000-0000AF380000}"/>
    <cellStyle name="40% - Accent3 10 8" xfId="9485" xr:uid="{00000000-0005-0000-0000-0000B0380000}"/>
    <cellStyle name="40% - Accent3 10 8 2" xfId="17443" xr:uid="{00000000-0005-0000-0000-0000B1380000}"/>
    <cellStyle name="40% - Accent3 10 8 3" xfId="25387" xr:uid="{00000000-0005-0000-0000-0000B2380000}"/>
    <cellStyle name="40% - Accent3 10 9" xfId="10381" xr:uid="{00000000-0005-0000-0000-0000B3380000}"/>
    <cellStyle name="40% - Accent3 10_Exh G" xfId="2933" xr:uid="{00000000-0005-0000-0000-0000B4380000}"/>
    <cellStyle name="40% - Accent3 11" xfId="437" xr:uid="{00000000-0005-0000-0000-0000B5380000}"/>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3" xfId="24505" xr:uid="{00000000-0005-0000-0000-0000BC380000}"/>
    <cellStyle name="40% - Accent3 11 2 2 2 2 3" xfId="13021" xr:uid="{00000000-0005-0000-0000-0000BD380000}"/>
    <cellStyle name="40% - Accent3 11 2 2 2 2 4" xfId="20976" xr:uid="{00000000-0005-0000-0000-0000BE380000}"/>
    <cellStyle name="40% - Accent3 11 2 2 2 3" xfId="6829" xr:uid="{00000000-0005-0000-0000-0000BF380000}"/>
    <cellStyle name="40% - Accent3 11 2 2 2 3 2" xfId="14801" xr:uid="{00000000-0005-0000-0000-0000C0380000}"/>
    <cellStyle name="40% - Accent3 11 2 2 2 3 3" xfId="22748" xr:uid="{00000000-0005-0000-0000-0000C1380000}"/>
    <cellStyle name="40% - Accent3 11 2 2 2 4" xfId="11265" xr:uid="{00000000-0005-0000-0000-0000C2380000}"/>
    <cellStyle name="40% - Accent3 11 2 2 2 5" xfId="19220" xr:uid="{00000000-0005-0000-0000-0000C3380000}"/>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3" xfId="23627" xr:uid="{00000000-0005-0000-0000-0000C8380000}"/>
    <cellStyle name="40% - Accent3 11 2 2 3 3" xfId="12143" xr:uid="{00000000-0005-0000-0000-0000C9380000}"/>
    <cellStyle name="40% - Accent3 11 2 2 3 4" xfId="20098" xr:uid="{00000000-0005-0000-0000-0000CA380000}"/>
    <cellStyle name="40% - Accent3 11 2 2 4" xfId="5938" xr:uid="{00000000-0005-0000-0000-0000CB380000}"/>
    <cellStyle name="40% - Accent3 11 2 2 4 2" xfId="13922" xr:uid="{00000000-0005-0000-0000-0000CC380000}"/>
    <cellStyle name="40% - Accent3 11 2 2 4 3" xfId="21870" xr:uid="{00000000-0005-0000-0000-0000CD380000}"/>
    <cellStyle name="40% - Accent3 11 2 2 5" xfId="9491" xr:uid="{00000000-0005-0000-0000-0000CE380000}"/>
    <cellStyle name="40% - Accent3 11 2 2 5 2" xfId="17449" xr:uid="{00000000-0005-0000-0000-0000CF380000}"/>
    <cellStyle name="40% - Accent3 11 2 2 5 3" xfId="25393" xr:uid="{00000000-0005-0000-0000-0000D0380000}"/>
    <cellStyle name="40% - Accent3 11 2 2 6" xfId="10387" xr:uid="{00000000-0005-0000-0000-0000D1380000}"/>
    <cellStyle name="40% - Accent3 11 2 2 7" xfId="18342" xr:uid="{00000000-0005-0000-0000-0000D2380000}"/>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3" xfId="24504" xr:uid="{00000000-0005-0000-0000-0000D8380000}"/>
    <cellStyle name="40% - Accent3 11 2 3 2 3" xfId="13020" xr:uid="{00000000-0005-0000-0000-0000D9380000}"/>
    <cellStyle name="40% - Accent3 11 2 3 2 4" xfId="20975" xr:uid="{00000000-0005-0000-0000-0000DA380000}"/>
    <cellStyle name="40% - Accent3 11 2 3 3" xfId="6828" xr:uid="{00000000-0005-0000-0000-0000DB380000}"/>
    <cellStyle name="40% - Accent3 11 2 3 3 2" xfId="14800" xr:uid="{00000000-0005-0000-0000-0000DC380000}"/>
    <cellStyle name="40% - Accent3 11 2 3 3 3" xfId="22747" xr:uid="{00000000-0005-0000-0000-0000DD380000}"/>
    <cellStyle name="40% - Accent3 11 2 3 4" xfId="11264" xr:uid="{00000000-0005-0000-0000-0000DE380000}"/>
    <cellStyle name="40% - Accent3 11 2 3 5" xfId="19219" xr:uid="{00000000-0005-0000-0000-0000DF380000}"/>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3" xfId="23626" xr:uid="{00000000-0005-0000-0000-0000E4380000}"/>
    <cellStyle name="40% - Accent3 11 2 4 3" xfId="12142" xr:uid="{00000000-0005-0000-0000-0000E5380000}"/>
    <cellStyle name="40% - Accent3 11 2 4 4" xfId="20097" xr:uid="{00000000-0005-0000-0000-0000E6380000}"/>
    <cellStyle name="40% - Accent3 11 2 5" xfId="5937" xr:uid="{00000000-0005-0000-0000-0000E7380000}"/>
    <cellStyle name="40% - Accent3 11 2 5 2" xfId="13921" xr:uid="{00000000-0005-0000-0000-0000E8380000}"/>
    <cellStyle name="40% - Accent3 11 2 5 3" xfId="21869" xr:uid="{00000000-0005-0000-0000-0000E9380000}"/>
    <cellStyle name="40% - Accent3 11 2 6" xfId="9490" xr:uid="{00000000-0005-0000-0000-0000EA380000}"/>
    <cellStyle name="40% - Accent3 11 2 6 2" xfId="17448" xr:uid="{00000000-0005-0000-0000-0000EB380000}"/>
    <cellStyle name="40% - Accent3 11 2 6 3" xfId="25392" xr:uid="{00000000-0005-0000-0000-0000EC380000}"/>
    <cellStyle name="40% - Accent3 11 2 7" xfId="10386" xr:uid="{00000000-0005-0000-0000-0000ED380000}"/>
    <cellStyle name="40% - Accent3 11 2 8" xfId="18341" xr:uid="{00000000-0005-0000-0000-0000EE380000}"/>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3" xfId="24506" xr:uid="{00000000-0005-0000-0000-0000F5380000}"/>
    <cellStyle name="40% - Accent3 11 3 2 2 3" xfId="13022" xr:uid="{00000000-0005-0000-0000-0000F6380000}"/>
    <cellStyle name="40% - Accent3 11 3 2 2 4" xfId="20977" xr:uid="{00000000-0005-0000-0000-0000F7380000}"/>
    <cellStyle name="40% - Accent3 11 3 2 3" xfId="6830" xr:uid="{00000000-0005-0000-0000-0000F8380000}"/>
    <cellStyle name="40% - Accent3 11 3 2 3 2" xfId="14802" xr:uid="{00000000-0005-0000-0000-0000F9380000}"/>
    <cellStyle name="40% - Accent3 11 3 2 3 3" xfId="22749" xr:uid="{00000000-0005-0000-0000-0000FA380000}"/>
    <cellStyle name="40% - Accent3 11 3 2 4" xfId="11266" xr:uid="{00000000-0005-0000-0000-0000FB380000}"/>
    <cellStyle name="40% - Accent3 11 3 2 5" xfId="19221" xr:uid="{00000000-0005-0000-0000-0000FC380000}"/>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3" xfId="23628" xr:uid="{00000000-0005-0000-0000-000001390000}"/>
    <cellStyle name="40% - Accent3 11 3 3 3" xfId="12144" xr:uid="{00000000-0005-0000-0000-000002390000}"/>
    <cellStyle name="40% - Accent3 11 3 3 4" xfId="20099" xr:uid="{00000000-0005-0000-0000-000003390000}"/>
    <cellStyle name="40% - Accent3 11 3 4" xfId="5939" xr:uid="{00000000-0005-0000-0000-000004390000}"/>
    <cellStyle name="40% - Accent3 11 3 4 2" xfId="13923" xr:uid="{00000000-0005-0000-0000-000005390000}"/>
    <cellStyle name="40% - Accent3 11 3 4 3" xfId="21871" xr:uid="{00000000-0005-0000-0000-000006390000}"/>
    <cellStyle name="40% - Accent3 11 3 5" xfId="9492" xr:uid="{00000000-0005-0000-0000-000007390000}"/>
    <cellStyle name="40% - Accent3 11 3 5 2" xfId="17450" xr:uid="{00000000-0005-0000-0000-000008390000}"/>
    <cellStyle name="40% - Accent3 11 3 5 3" xfId="25394" xr:uid="{00000000-0005-0000-0000-000009390000}"/>
    <cellStyle name="40% - Accent3 11 3 6" xfId="10388" xr:uid="{00000000-0005-0000-0000-00000A390000}"/>
    <cellStyle name="40% - Accent3 11 3 7" xfId="18343" xr:uid="{00000000-0005-0000-0000-00000B390000}"/>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3" xfId="24503" xr:uid="{00000000-0005-0000-0000-000011390000}"/>
    <cellStyle name="40% - Accent3 11 4 2 3" xfId="13019" xr:uid="{00000000-0005-0000-0000-000012390000}"/>
    <cellStyle name="40% - Accent3 11 4 2 4" xfId="20974" xr:uid="{00000000-0005-0000-0000-000013390000}"/>
    <cellStyle name="40% - Accent3 11 4 3" xfId="6827" xr:uid="{00000000-0005-0000-0000-000014390000}"/>
    <cellStyle name="40% - Accent3 11 4 3 2" xfId="14799" xr:uid="{00000000-0005-0000-0000-000015390000}"/>
    <cellStyle name="40% - Accent3 11 4 3 3" xfId="22746" xr:uid="{00000000-0005-0000-0000-000016390000}"/>
    <cellStyle name="40% - Accent3 11 4 4" xfId="11263" xr:uid="{00000000-0005-0000-0000-000017390000}"/>
    <cellStyle name="40% - Accent3 11 4 5" xfId="19218" xr:uid="{00000000-0005-0000-0000-000018390000}"/>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3" xfId="23625" xr:uid="{00000000-0005-0000-0000-00001D390000}"/>
    <cellStyle name="40% - Accent3 11 5 3" xfId="12141" xr:uid="{00000000-0005-0000-0000-00001E390000}"/>
    <cellStyle name="40% - Accent3 11 5 4" xfId="20096" xr:uid="{00000000-0005-0000-0000-00001F390000}"/>
    <cellStyle name="40% - Accent3 11 6" xfId="5936" xr:uid="{00000000-0005-0000-0000-000020390000}"/>
    <cellStyle name="40% - Accent3 11 6 2" xfId="13920" xr:uid="{00000000-0005-0000-0000-000021390000}"/>
    <cellStyle name="40% - Accent3 11 6 3" xfId="21868" xr:uid="{00000000-0005-0000-0000-000022390000}"/>
    <cellStyle name="40% - Accent3 11 7" xfId="9489" xr:uid="{00000000-0005-0000-0000-000023390000}"/>
    <cellStyle name="40% - Accent3 11 7 2" xfId="17447" xr:uid="{00000000-0005-0000-0000-000024390000}"/>
    <cellStyle name="40% - Accent3 11 7 3" xfId="25391" xr:uid="{00000000-0005-0000-0000-000025390000}"/>
    <cellStyle name="40% - Accent3 11 8" xfId="10385" xr:uid="{00000000-0005-0000-0000-000026390000}"/>
    <cellStyle name="40% - Accent3 11 9" xfId="18340" xr:uid="{00000000-0005-0000-0000-000027390000}"/>
    <cellStyle name="40% - Accent3 11_Exh G" xfId="2941" xr:uid="{00000000-0005-0000-0000-000028390000}"/>
    <cellStyle name="40% - Accent3 12" xfId="441" xr:uid="{00000000-0005-0000-0000-000029390000}"/>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3" xfId="24509" xr:uid="{00000000-0005-0000-0000-000030390000}"/>
    <cellStyle name="40% - Accent3 12 2 2 2 2 3" xfId="13025" xr:uid="{00000000-0005-0000-0000-000031390000}"/>
    <cellStyle name="40% - Accent3 12 2 2 2 2 4" xfId="20980" xr:uid="{00000000-0005-0000-0000-000032390000}"/>
    <cellStyle name="40% - Accent3 12 2 2 2 3" xfId="6833" xr:uid="{00000000-0005-0000-0000-000033390000}"/>
    <cellStyle name="40% - Accent3 12 2 2 2 3 2" xfId="14805" xr:uid="{00000000-0005-0000-0000-000034390000}"/>
    <cellStyle name="40% - Accent3 12 2 2 2 3 3" xfId="22752" xr:uid="{00000000-0005-0000-0000-000035390000}"/>
    <cellStyle name="40% - Accent3 12 2 2 2 4" xfId="11269" xr:uid="{00000000-0005-0000-0000-000036390000}"/>
    <cellStyle name="40% - Accent3 12 2 2 2 5" xfId="19224" xr:uid="{00000000-0005-0000-0000-000037390000}"/>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3" xfId="23631" xr:uid="{00000000-0005-0000-0000-00003C390000}"/>
    <cellStyle name="40% - Accent3 12 2 2 3 3" xfId="12147" xr:uid="{00000000-0005-0000-0000-00003D390000}"/>
    <cellStyle name="40% - Accent3 12 2 2 3 4" xfId="20102" xr:uid="{00000000-0005-0000-0000-00003E390000}"/>
    <cellStyle name="40% - Accent3 12 2 2 4" xfId="5942" xr:uid="{00000000-0005-0000-0000-00003F390000}"/>
    <cellStyle name="40% - Accent3 12 2 2 4 2" xfId="13926" xr:uid="{00000000-0005-0000-0000-000040390000}"/>
    <cellStyle name="40% - Accent3 12 2 2 4 3" xfId="21874" xr:uid="{00000000-0005-0000-0000-000041390000}"/>
    <cellStyle name="40% - Accent3 12 2 2 5" xfId="9495" xr:uid="{00000000-0005-0000-0000-000042390000}"/>
    <cellStyle name="40% - Accent3 12 2 2 5 2" xfId="17453" xr:uid="{00000000-0005-0000-0000-000043390000}"/>
    <cellStyle name="40% - Accent3 12 2 2 5 3" xfId="25397" xr:uid="{00000000-0005-0000-0000-000044390000}"/>
    <cellStyle name="40% - Accent3 12 2 2 6" xfId="10391" xr:uid="{00000000-0005-0000-0000-000045390000}"/>
    <cellStyle name="40% - Accent3 12 2 2 7" xfId="18346" xr:uid="{00000000-0005-0000-0000-000046390000}"/>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3" xfId="24508" xr:uid="{00000000-0005-0000-0000-00004C390000}"/>
    <cellStyle name="40% - Accent3 12 2 3 2 3" xfId="13024" xr:uid="{00000000-0005-0000-0000-00004D390000}"/>
    <cellStyle name="40% - Accent3 12 2 3 2 4" xfId="20979" xr:uid="{00000000-0005-0000-0000-00004E390000}"/>
    <cellStyle name="40% - Accent3 12 2 3 3" xfId="6832" xr:uid="{00000000-0005-0000-0000-00004F390000}"/>
    <cellStyle name="40% - Accent3 12 2 3 3 2" xfId="14804" xr:uid="{00000000-0005-0000-0000-000050390000}"/>
    <cellStyle name="40% - Accent3 12 2 3 3 3" xfId="22751" xr:uid="{00000000-0005-0000-0000-000051390000}"/>
    <cellStyle name="40% - Accent3 12 2 3 4" xfId="11268" xr:uid="{00000000-0005-0000-0000-000052390000}"/>
    <cellStyle name="40% - Accent3 12 2 3 5" xfId="19223" xr:uid="{00000000-0005-0000-0000-000053390000}"/>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3" xfId="23630" xr:uid="{00000000-0005-0000-0000-000058390000}"/>
    <cellStyle name="40% - Accent3 12 2 4 3" xfId="12146" xr:uid="{00000000-0005-0000-0000-000059390000}"/>
    <cellStyle name="40% - Accent3 12 2 4 4" xfId="20101" xr:uid="{00000000-0005-0000-0000-00005A390000}"/>
    <cellStyle name="40% - Accent3 12 2 5" xfId="5941" xr:uid="{00000000-0005-0000-0000-00005B390000}"/>
    <cellStyle name="40% - Accent3 12 2 5 2" xfId="13925" xr:uid="{00000000-0005-0000-0000-00005C390000}"/>
    <cellStyle name="40% - Accent3 12 2 5 3" xfId="21873" xr:uid="{00000000-0005-0000-0000-00005D390000}"/>
    <cellStyle name="40% - Accent3 12 2 6" xfId="9494" xr:uid="{00000000-0005-0000-0000-00005E390000}"/>
    <cellStyle name="40% - Accent3 12 2 6 2" xfId="17452" xr:uid="{00000000-0005-0000-0000-00005F390000}"/>
    <cellStyle name="40% - Accent3 12 2 6 3" xfId="25396" xr:uid="{00000000-0005-0000-0000-000060390000}"/>
    <cellStyle name="40% - Accent3 12 2 7" xfId="10390" xr:uid="{00000000-0005-0000-0000-000061390000}"/>
    <cellStyle name="40% - Accent3 12 2 8" xfId="18345" xr:uid="{00000000-0005-0000-0000-000062390000}"/>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3" xfId="24510" xr:uid="{00000000-0005-0000-0000-000069390000}"/>
    <cellStyle name="40% - Accent3 12 3 2 2 3" xfId="13026" xr:uid="{00000000-0005-0000-0000-00006A390000}"/>
    <cellStyle name="40% - Accent3 12 3 2 2 4" xfId="20981" xr:uid="{00000000-0005-0000-0000-00006B390000}"/>
    <cellStyle name="40% - Accent3 12 3 2 3" xfId="6834" xr:uid="{00000000-0005-0000-0000-00006C390000}"/>
    <cellStyle name="40% - Accent3 12 3 2 3 2" xfId="14806" xr:uid="{00000000-0005-0000-0000-00006D390000}"/>
    <cellStyle name="40% - Accent3 12 3 2 3 3" xfId="22753" xr:uid="{00000000-0005-0000-0000-00006E390000}"/>
    <cellStyle name="40% - Accent3 12 3 2 4" xfId="11270" xr:uid="{00000000-0005-0000-0000-00006F390000}"/>
    <cellStyle name="40% - Accent3 12 3 2 5" xfId="19225" xr:uid="{00000000-0005-0000-0000-000070390000}"/>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3" xfId="23632" xr:uid="{00000000-0005-0000-0000-000075390000}"/>
    <cellStyle name="40% - Accent3 12 3 3 3" xfId="12148" xr:uid="{00000000-0005-0000-0000-000076390000}"/>
    <cellStyle name="40% - Accent3 12 3 3 4" xfId="20103" xr:uid="{00000000-0005-0000-0000-000077390000}"/>
    <cellStyle name="40% - Accent3 12 3 4" xfId="5943" xr:uid="{00000000-0005-0000-0000-000078390000}"/>
    <cellStyle name="40% - Accent3 12 3 4 2" xfId="13927" xr:uid="{00000000-0005-0000-0000-000079390000}"/>
    <cellStyle name="40% - Accent3 12 3 4 3" xfId="21875" xr:uid="{00000000-0005-0000-0000-00007A390000}"/>
    <cellStyle name="40% - Accent3 12 3 5" xfId="9496" xr:uid="{00000000-0005-0000-0000-00007B390000}"/>
    <cellStyle name="40% - Accent3 12 3 5 2" xfId="17454" xr:uid="{00000000-0005-0000-0000-00007C390000}"/>
    <cellStyle name="40% - Accent3 12 3 5 3" xfId="25398" xr:uid="{00000000-0005-0000-0000-00007D390000}"/>
    <cellStyle name="40% - Accent3 12 3 6" xfId="10392" xr:uid="{00000000-0005-0000-0000-00007E390000}"/>
    <cellStyle name="40% - Accent3 12 3 7" xfId="18347" xr:uid="{00000000-0005-0000-0000-00007F390000}"/>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3" xfId="24507" xr:uid="{00000000-0005-0000-0000-000085390000}"/>
    <cellStyle name="40% - Accent3 12 4 2 3" xfId="13023" xr:uid="{00000000-0005-0000-0000-000086390000}"/>
    <cellStyle name="40% - Accent3 12 4 2 4" xfId="20978" xr:uid="{00000000-0005-0000-0000-000087390000}"/>
    <cellStyle name="40% - Accent3 12 4 3" xfId="6831" xr:uid="{00000000-0005-0000-0000-000088390000}"/>
    <cellStyle name="40% - Accent3 12 4 3 2" xfId="14803" xr:uid="{00000000-0005-0000-0000-000089390000}"/>
    <cellStyle name="40% - Accent3 12 4 3 3" xfId="22750" xr:uid="{00000000-0005-0000-0000-00008A390000}"/>
    <cellStyle name="40% - Accent3 12 4 4" xfId="11267" xr:uid="{00000000-0005-0000-0000-00008B390000}"/>
    <cellStyle name="40% - Accent3 12 4 5" xfId="19222" xr:uid="{00000000-0005-0000-0000-00008C390000}"/>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3" xfId="23629" xr:uid="{00000000-0005-0000-0000-000091390000}"/>
    <cellStyle name="40% - Accent3 12 5 3" xfId="12145" xr:uid="{00000000-0005-0000-0000-000092390000}"/>
    <cellStyle name="40% - Accent3 12 5 4" xfId="20100" xr:uid="{00000000-0005-0000-0000-000093390000}"/>
    <cellStyle name="40% - Accent3 12 6" xfId="5940" xr:uid="{00000000-0005-0000-0000-000094390000}"/>
    <cellStyle name="40% - Accent3 12 6 2" xfId="13924" xr:uid="{00000000-0005-0000-0000-000095390000}"/>
    <cellStyle name="40% - Accent3 12 6 3" xfId="21872" xr:uid="{00000000-0005-0000-0000-000096390000}"/>
    <cellStyle name="40% - Accent3 12 7" xfId="9493" xr:uid="{00000000-0005-0000-0000-000097390000}"/>
    <cellStyle name="40% - Accent3 12 7 2" xfId="17451" xr:uid="{00000000-0005-0000-0000-000098390000}"/>
    <cellStyle name="40% - Accent3 12 7 3" xfId="25395" xr:uid="{00000000-0005-0000-0000-000099390000}"/>
    <cellStyle name="40% - Accent3 12 8" xfId="10389" xr:uid="{00000000-0005-0000-0000-00009A390000}"/>
    <cellStyle name="40% - Accent3 12 9" xfId="18344" xr:uid="{00000000-0005-0000-0000-00009B390000}"/>
    <cellStyle name="40% - Accent3 12_Exh G" xfId="2949" xr:uid="{00000000-0005-0000-0000-00009C390000}"/>
    <cellStyle name="40% - Accent3 13" xfId="445" xr:uid="{00000000-0005-0000-0000-00009D39000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3" xfId="24513" xr:uid="{00000000-0005-0000-0000-0000A4390000}"/>
    <cellStyle name="40% - Accent3 13 2 2 2 2 3" xfId="13029" xr:uid="{00000000-0005-0000-0000-0000A5390000}"/>
    <cellStyle name="40% - Accent3 13 2 2 2 2 4" xfId="20984" xr:uid="{00000000-0005-0000-0000-0000A6390000}"/>
    <cellStyle name="40% - Accent3 13 2 2 2 3" xfId="6837" xr:uid="{00000000-0005-0000-0000-0000A7390000}"/>
    <cellStyle name="40% - Accent3 13 2 2 2 3 2" xfId="14809" xr:uid="{00000000-0005-0000-0000-0000A8390000}"/>
    <cellStyle name="40% - Accent3 13 2 2 2 3 3" xfId="22756" xr:uid="{00000000-0005-0000-0000-0000A9390000}"/>
    <cellStyle name="40% - Accent3 13 2 2 2 4" xfId="11273" xr:uid="{00000000-0005-0000-0000-0000AA390000}"/>
    <cellStyle name="40% - Accent3 13 2 2 2 5" xfId="19228" xr:uid="{00000000-0005-0000-0000-0000AB390000}"/>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3" xfId="23635" xr:uid="{00000000-0005-0000-0000-0000B0390000}"/>
    <cellStyle name="40% - Accent3 13 2 2 3 3" xfId="12151" xr:uid="{00000000-0005-0000-0000-0000B1390000}"/>
    <cellStyle name="40% - Accent3 13 2 2 3 4" xfId="20106" xr:uid="{00000000-0005-0000-0000-0000B2390000}"/>
    <cellStyle name="40% - Accent3 13 2 2 4" xfId="5946" xr:uid="{00000000-0005-0000-0000-0000B3390000}"/>
    <cellStyle name="40% - Accent3 13 2 2 4 2" xfId="13930" xr:uid="{00000000-0005-0000-0000-0000B4390000}"/>
    <cellStyle name="40% - Accent3 13 2 2 4 3" xfId="21878" xr:uid="{00000000-0005-0000-0000-0000B5390000}"/>
    <cellStyle name="40% - Accent3 13 2 2 5" xfId="9499" xr:uid="{00000000-0005-0000-0000-0000B6390000}"/>
    <cellStyle name="40% - Accent3 13 2 2 5 2" xfId="17457" xr:uid="{00000000-0005-0000-0000-0000B7390000}"/>
    <cellStyle name="40% - Accent3 13 2 2 5 3" xfId="25401" xr:uid="{00000000-0005-0000-0000-0000B8390000}"/>
    <cellStyle name="40% - Accent3 13 2 2 6" xfId="10395" xr:uid="{00000000-0005-0000-0000-0000B9390000}"/>
    <cellStyle name="40% - Accent3 13 2 2 7" xfId="18350" xr:uid="{00000000-0005-0000-0000-0000BA390000}"/>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3" xfId="24512" xr:uid="{00000000-0005-0000-0000-0000C0390000}"/>
    <cellStyle name="40% - Accent3 13 2 3 2 3" xfId="13028" xr:uid="{00000000-0005-0000-0000-0000C1390000}"/>
    <cellStyle name="40% - Accent3 13 2 3 2 4" xfId="20983" xr:uid="{00000000-0005-0000-0000-0000C2390000}"/>
    <cellStyle name="40% - Accent3 13 2 3 3" xfId="6836" xr:uid="{00000000-0005-0000-0000-0000C3390000}"/>
    <cellStyle name="40% - Accent3 13 2 3 3 2" xfId="14808" xr:uid="{00000000-0005-0000-0000-0000C4390000}"/>
    <cellStyle name="40% - Accent3 13 2 3 3 3" xfId="22755" xr:uid="{00000000-0005-0000-0000-0000C5390000}"/>
    <cellStyle name="40% - Accent3 13 2 3 4" xfId="11272" xr:uid="{00000000-0005-0000-0000-0000C6390000}"/>
    <cellStyle name="40% - Accent3 13 2 3 5" xfId="19227" xr:uid="{00000000-0005-0000-0000-0000C7390000}"/>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3" xfId="23634" xr:uid="{00000000-0005-0000-0000-0000CC390000}"/>
    <cellStyle name="40% - Accent3 13 2 4 3" xfId="12150" xr:uid="{00000000-0005-0000-0000-0000CD390000}"/>
    <cellStyle name="40% - Accent3 13 2 4 4" xfId="20105" xr:uid="{00000000-0005-0000-0000-0000CE390000}"/>
    <cellStyle name="40% - Accent3 13 2 5" xfId="5945" xr:uid="{00000000-0005-0000-0000-0000CF390000}"/>
    <cellStyle name="40% - Accent3 13 2 5 2" xfId="13929" xr:uid="{00000000-0005-0000-0000-0000D0390000}"/>
    <cellStyle name="40% - Accent3 13 2 5 3" xfId="21877" xr:uid="{00000000-0005-0000-0000-0000D1390000}"/>
    <cellStyle name="40% - Accent3 13 2 6" xfId="9498" xr:uid="{00000000-0005-0000-0000-0000D2390000}"/>
    <cellStyle name="40% - Accent3 13 2 6 2" xfId="17456" xr:uid="{00000000-0005-0000-0000-0000D3390000}"/>
    <cellStyle name="40% - Accent3 13 2 6 3" xfId="25400" xr:uid="{00000000-0005-0000-0000-0000D4390000}"/>
    <cellStyle name="40% - Accent3 13 2 7" xfId="10394" xr:uid="{00000000-0005-0000-0000-0000D5390000}"/>
    <cellStyle name="40% - Accent3 13 2 8" xfId="18349" xr:uid="{00000000-0005-0000-0000-0000D6390000}"/>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3" xfId="24514" xr:uid="{00000000-0005-0000-0000-0000DD390000}"/>
    <cellStyle name="40% - Accent3 13 3 2 2 3" xfId="13030" xr:uid="{00000000-0005-0000-0000-0000DE390000}"/>
    <cellStyle name="40% - Accent3 13 3 2 2 4" xfId="20985" xr:uid="{00000000-0005-0000-0000-0000DF390000}"/>
    <cellStyle name="40% - Accent3 13 3 2 3" xfId="6838" xr:uid="{00000000-0005-0000-0000-0000E0390000}"/>
    <cellStyle name="40% - Accent3 13 3 2 3 2" xfId="14810" xr:uid="{00000000-0005-0000-0000-0000E1390000}"/>
    <cellStyle name="40% - Accent3 13 3 2 3 3" xfId="22757" xr:uid="{00000000-0005-0000-0000-0000E2390000}"/>
    <cellStyle name="40% - Accent3 13 3 2 4" xfId="11274" xr:uid="{00000000-0005-0000-0000-0000E3390000}"/>
    <cellStyle name="40% - Accent3 13 3 2 5" xfId="19229" xr:uid="{00000000-0005-0000-0000-0000E4390000}"/>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3" xfId="23636" xr:uid="{00000000-0005-0000-0000-0000E9390000}"/>
    <cellStyle name="40% - Accent3 13 3 3 3" xfId="12152" xr:uid="{00000000-0005-0000-0000-0000EA390000}"/>
    <cellStyle name="40% - Accent3 13 3 3 4" xfId="20107" xr:uid="{00000000-0005-0000-0000-0000EB390000}"/>
    <cellStyle name="40% - Accent3 13 3 4" xfId="5947" xr:uid="{00000000-0005-0000-0000-0000EC390000}"/>
    <cellStyle name="40% - Accent3 13 3 4 2" xfId="13931" xr:uid="{00000000-0005-0000-0000-0000ED390000}"/>
    <cellStyle name="40% - Accent3 13 3 4 3" xfId="21879" xr:uid="{00000000-0005-0000-0000-0000EE390000}"/>
    <cellStyle name="40% - Accent3 13 3 5" xfId="9500" xr:uid="{00000000-0005-0000-0000-0000EF390000}"/>
    <cellStyle name="40% - Accent3 13 3 5 2" xfId="17458" xr:uid="{00000000-0005-0000-0000-0000F0390000}"/>
    <cellStyle name="40% - Accent3 13 3 5 3" xfId="25402" xr:uid="{00000000-0005-0000-0000-0000F1390000}"/>
    <cellStyle name="40% - Accent3 13 3 6" xfId="10396" xr:uid="{00000000-0005-0000-0000-0000F2390000}"/>
    <cellStyle name="40% - Accent3 13 3 7" xfId="18351" xr:uid="{00000000-0005-0000-0000-0000F3390000}"/>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3" xfId="24511" xr:uid="{00000000-0005-0000-0000-0000F9390000}"/>
    <cellStyle name="40% - Accent3 13 4 2 3" xfId="13027" xr:uid="{00000000-0005-0000-0000-0000FA390000}"/>
    <cellStyle name="40% - Accent3 13 4 2 4" xfId="20982" xr:uid="{00000000-0005-0000-0000-0000FB390000}"/>
    <cellStyle name="40% - Accent3 13 4 3" xfId="6835" xr:uid="{00000000-0005-0000-0000-0000FC390000}"/>
    <cellStyle name="40% - Accent3 13 4 3 2" xfId="14807" xr:uid="{00000000-0005-0000-0000-0000FD390000}"/>
    <cellStyle name="40% - Accent3 13 4 3 3" xfId="22754" xr:uid="{00000000-0005-0000-0000-0000FE390000}"/>
    <cellStyle name="40% - Accent3 13 4 4" xfId="11271" xr:uid="{00000000-0005-0000-0000-0000FF390000}"/>
    <cellStyle name="40% - Accent3 13 4 5" xfId="19226" xr:uid="{00000000-0005-0000-0000-0000003A0000}"/>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3" xfId="23633" xr:uid="{00000000-0005-0000-0000-0000053A0000}"/>
    <cellStyle name="40% - Accent3 13 5 3" xfId="12149" xr:uid="{00000000-0005-0000-0000-0000063A0000}"/>
    <cellStyle name="40% - Accent3 13 5 4" xfId="20104" xr:uid="{00000000-0005-0000-0000-0000073A0000}"/>
    <cellStyle name="40% - Accent3 13 6" xfId="5944" xr:uid="{00000000-0005-0000-0000-0000083A0000}"/>
    <cellStyle name="40% - Accent3 13 6 2" xfId="13928" xr:uid="{00000000-0005-0000-0000-0000093A0000}"/>
    <cellStyle name="40% - Accent3 13 6 3" xfId="21876" xr:uid="{00000000-0005-0000-0000-00000A3A0000}"/>
    <cellStyle name="40% - Accent3 13 7" xfId="9497" xr:uid="{00000000-0005-0000-0000-00000B3A0000}"/>
    <cellStyle name="40% - Accent3 13 7 2" xfId="17455" xr:uid="{00000000-0005-0000-0000-00000C3A0000}"/>
    <cellStyle name="40% - Accent3 13 7 3" xfId="25399" xr:uid="{00000000-0005-0000-0000-00000D3A0000}"/>
    <cellStyle name="40% - Accent3 13 8" xfId="10393" xr:uid="{00000000-0005-0000-0000-00000E3A0000}"/>
    <cellStyle name="40% - Accent3 13 9" xfId="18348" xr:uid="{00000000-0005-0000-0000-00000F3A0000}"/>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3" xfId="24516" xr:uid="{00000000-0005-0000-0000-0000173A0000}"/>
    <cellStyle name="40% - Accent3 14 2 2 2 3" xfId="13032" xr:uid="{00000000-0005-0000-0000-0000183A0000}"/>
    <cellStyle name="40% - Accent3 14 2 2 2 4" xfId="20987" xr:uid="{00000000-0005-0000-0000-0000193A0000}"/>
    <cellStyle name="40% - Accent3 14 2 2 3" xfId="6840" xr:uid="{00000000-0005-0000-0000-00001A3A0000}"/>
    <cellStyle name="40% - Accent3 14 2 2 3 2" xfId="14812" xr:uid="{00000000-0005-0000-0000-00001B3A0000}"/>
    <cellStyle name="40% - Accent3 14 2 2 3 3" xfId="22759" xr:uid="{00000000-0005-0000-0000-00001C3A0000}"/>
    <cellStyle name="40% - Accent3 14 2 2 4" xfId="11276" xr:uid="{00000000-0005-0000-0000-00001D3A0000}"/>
    <cellStyle name="40% - Accent3 14 2 2 5" xfId="19231" xr:uid="{00000000-0005-0000-0000-00001E3A0000}"/>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3" xfId="23638" xr:uid="{00000000-0005-0000-0000-0000233A0000}"/>
    <cellStyle name="40% - Accent3 14 2 3 3" xfId="12154" xr:uid="{00000000-0005-0000-0000-0000243A0000}"/>
    <cellStyle name="40% - Accent3 14 2 3 4" xfId="20109" xr:uid="{00000000-0005-0000-0000-0000253A0000}"/>
    <cellStyle name="40% - Accent3 14 2 4" xfId="5949" xr:uid="{00000000-0005-0000-0000-0000263A0000}"/>
    <cellStyle name="40% - Accent3 14 2 4 2" xfId="13933" xr:uid="{00000000-0005-0000-0000-0000273A0000}"/>
    <cellStyle name="40% - Accent3 14 2 4 3" xfId="21881" xr:uid="{00000000-0005-0000-0000-0000283A0000}"/>
    <cellStyle name="40% - Accent3 14 2 5" xfId="9502" xr:uid="{00000000-0005-0000-0000-0000293A0000}"/>
    <cellStyle name="40% - Accent3 14 2 5 2" xfId="17460" xr:uid="{00000000-0005-0000-0000-00002A3A0000}"/>
    <cellStyle name="40% - Accent3 14 2 5 3" xfId="25404" xr:uid="{00000000-0005-0000-0000-00002B3A0000}"/>
    <cellStyle name="40% - Accent3 14 2 6" xfId="10398" xr:uid="{00000000-0005-0000-0000-00002C3A0000}"/>
    <cellStyle name="40% - Accent3 14 2 7" xfId="18353" xr:uid="{00000000-0005-0000-0000-00002D3A0000}"/>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3" xfId="24515" xr:uid="{00000000-0005-0000-0000-0000333A0000}"/>
    <cellStyle name="40% - Accent3 14 3 2 3" xfId="13031" xr:uid="{00000000-0005-0000-0000-0000343A0000}"/>
    <cellStyle name="40% - Accent3 14 3 2 4" xfId="20986" xr:uid="{00000000-0005-0000-0000-0000353A0000}"/>
    <cellStyle name="40% - Accent3 14 3 3" xfId="6839" xr:uid="{00000000-0005-0000-0000-0000363A0000}"/>
    <cellStyle name="40% - Accent3 14 3 3 2" xfId="14811" xr:uid="{00000000-0005-0000-0000-0000373A0000}"/>
    <cellStyle name="40% - Accent3 14 3 3 3" xfId="22758" xr:uid="{00000000-0005-0000-0000-0000383A0000}"/>
    <cellStyle name="40% - Accent3 14 3 4" xfId="11275" xr:uid="{00000000-0005-0000-0000-0000393A0000}"/>
    <cellStyle name="40% - Accent3 14 3 5" xfId="19230" xr:uid="{00000000-0005-0000-0000-00003A3A0000}"/>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3" xfId="23637" xr:uid="{00000000-0005-0000-0000-00003F3A0000}"/>
    <cellStyle name="40% - Accent3 14 4 3" xfId="12153" xr:uid="{00000000-0005-0000-0000-0000403A0000}"/>
    <cellStyle name="40% - Accent3 14 4 4" xfId="20108" xr:uid="{00000000-0005-0000-0000-0000413A0000}"/>
    <cellStyle name="40% - Accent3 14 5" xfId="5948" xr:uid="{00000000-0005-0000-0000-0000423A0000}"/>
    <cellStyle name="40% - Accent3 14 5 2" xfId="13932" xr:uid="{00000000-0005-0000-0000-0000433A0000}"/>
    <cellStyle name="40% - Accent3 14 5 3" xfId="21880" xr:uid="{00000000-0005-0000-0000-0000443A0000}"/>
    <cellStyle name="40% - Accent3 14 6" xfId="9501" xr:uid="{00000000-0005-0000-0000-0000453A0000}"/>
    <cellStyle name="40% - Accent3 14 6 2" xfId="17459" xr:uid="{00000000-0005-0000-0000-0000463A0000}"/>
    <cellStyle name="40% - Accent3 14 6 3" xfId="25403" xr:uid="{00000000-0005-0000-0000-0000473A0000}"/>
    <cellStyle name="40% - Accent3 14 7" xfId="10397" xr:uid="{00000000-0005-0000-0000-0000483A0000}"/>
    <cellStyle name="40% - Accent3 14 8" xfId="18352" xr:uid="{00000000-0005-0000-0000-0000493A0000}"/>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3" xfId="24517" xr:uid="{00000000-0005-0000-0000-0000503A0000}"/>
    <cellStyle name="40% - Accent3 15 2 2 3" xfId="13033" xr:uid="{00000000-0005-0000-0000-0000513A0000}"/>
    <cellStyle name="40% - Accent3 15 2 2 4" xfId="20988" xr:uid="{00000000-0005-0000-0000-0000523A0000}"/>
    <cellStyle name="40% - Accent3 15 2 3" xfId="6841" xr:uid="{00000000-0005-0000-0000-0000533A0000}"/>
    <cellStyle name="40% - Accent3 15 2 3 2" xfId="14813" xr:uid="{00000000-0005-0000-0000-0000543A0000}"/>
    <cellStyle name="40% - Accent3 15 2 3 3" xfId="22760" xr:uid="{00000000-0005-0000-0000-0000553A0000}"/>
    <cellStyle name="40% - Accent3 15 2 4" xfId="11277" xr:uid="{00000000-0005-0000-0000-0000563A0000}"/>
    <cellStyle name="40% - Accent3 15 2 5" xfId="19232" xr:uid="{00000000-0005-0000-0000-0000573A0000}"/>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3" xfId="23639" xr:uid="{00000000-0005-0000-0000-00005C3A0000}"/>
    <cellStyle name="40% - Accent3 15 3 3" xfId="12155" xr:uid="{00000000-0005-0000-0000-00005D3A0000}"/>
    <cellStyle name="40% - Accent3 15 3 4" xfId="20110" xr:uid="{00000000-0005-0000-0000-00005E3A0000}"/>
    <cellStyle name="40% - Accent3 15 4" xfId="5950" xr:uid="{00000000-0005-0000-0000-00005F3A0000}"/>
    <cellStyle name="40% - Accent3 15 4 2" xfId="13934" xr:uid="{00000000-0005-0000-0000-0000603A0000}"/>
    <cellStyle name="40% - Accent3 15 4 3" xfId="21882" xr:uid="{00000000-0005-0000-0000-0000613A0000}"/>
    <cellStyle name="40% - Accent3 15 5" xfId="9503" xr:uid="{00000000-0005-0000-0000-0000623A0000}"/>
    <cellStyle name="40% - Accent3 15 5 2" xfId="17461" xr:uid="{00000000-0005-0000-0000-0000633A0000}"/>
    <cellStyle name="40% - Accent3 15 5 3" xfId="25405" xr:uid="{00000000-0005-0000-0000-0000643A0000}"/>
    <cellStyle name="40% - Accent3 15 6" xfId="10399" xr:uid="{00000000-0005-0000-0000-0000653A0000}"/>
    <cellStyle name="40% - Accent3 15 7" xfId="18354" xr:uid="{00000000-0005-0000-0000-0000663A000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3" xfId="24819" xr:uid="{00000000-0005-0000-0000-00006D3A0000}"/>
    <cellStyle name="40% - Accent3 16 2 2 3" xfId="13335" xr:uid="{00000000-0005-0000-0000-00006E3A0000}"/>
    <cellStyle name="40% - Accent3 16 2 2 4" xfId="21290" xr:uid="{00000000-0005-0000-0000-00006F3A0000}"/>
    <cellStyle name="40% - Accent3 16 2 3" xfId="7143" xr:uid="{00000000-0005-0000-0000-0000703A0000}"/>
    <cellStyle name="40% - Accent3 16 2 3 2" xfId="15115" xr:uid="{00000000-0005-0000-0000-0000713A0000}"/>
    <cellStyle name="40% - Accent3 16 2 3 3" xfId="23062" xr:uid="{00000000-0005-0000-0000-0000723A0000}"/>
    <cellStyle name="40% - Accent3 16 2 4" xfId="11579" xr:uid="{00000000-0005-0000-0000-0000733A0000}"/>
    <cellStyle name="40% - Accent3 16 2 5" xfId="19534" xr:uid="{00000000-0005-0000-0000-0000743A0000}"/>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3" xfId="23941" xr:uid="{00000000-0005-0000-0000-0000793A0000}"/>
    <cellStyle name="40% - Accent3 16 3 3" xfId="12457" xr:uid="{00000000-0005-0000-0000-00007A3A0000}"/>
    <cellStyle name="40% - Accent3 16 3 4" xfId="20412" xr:uid="{00000000-0005-0000-0000-00007B3A0000}"/>
    <cellStyle name="40% - Accent3 16 4" xfId="6262" xr:uid="{00000000-0005-0000-0000-00007C3A0000}"/>
    <cellStyle name="40% - Accent3 16 4 2" xfId="14237" xr:uid="{00000000-0005-0000-0000-00007D3A0000}"/>
    <cellStyle name="40% - Accent3 16 4 3" xfId="22184" xr:uid="{00000000-0005-0000-0000-00007E3A0000}"/>
    <cellStyle name="40% - Accent3 16 5" xfId="9805" xr:uid="{00000000-0005-0000-0000-00007F3A0000}"/>
    <cellStyle name="40% - Accent3 16 5 2" xfId="17763" xr:uid="{00000000-0005-0000-0000-0000803A0000}"/>
    <cellStyle name="40% - Accent3 16 5 3" xfId="25707" xr:uid="{00000000-0005-0000-0000-0000813A0000}"/>
    <cellStyle name="40% - Accent3 16 6" xfId="10701" xr:uid="{00000000-0005-0000-0000-0000823A0000}"/>
    <cellStyle name="40% - Accent3 16 7" xfId="18656" xr:uid="{00000000-0005-0000-0000-0000833A0000}"/>
    <cellStyle name="40% - Accent3 16_Exh G" xfId="2971" xr:uid="{00000000-0005-0000-0000-0000843A0000}"/>
    <cellStyle name="40% - Accent3 2" xfId="452" xr:uid="{00000000-0005-0000-0000-0000853A0000}"/>
    <cellStyle name="40% - Accent3 2 10" xfId="18355" xr:uid="{00000000-0005-0000-0000-0000863A0000}"/>
    <cellStyle name="40% - Accent3 2 2" xfId="453" xr:uid="{00000000-0005-0000-0000-0000873A0000}"/>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3" xfId="24520" xr:uid="{00000000-0005-0000-0000-00008D3A0000}"/>
    <cellStyle name="40% - Accent3 2 2 2 2 2 3" xfId="13036" xr:uid="{00000000-0005-0000-0000-00008E3A0000}"/>
    <cellStyle name="40% - Accent3 2 2 2 2 2 4" xfId="20991" xr:uid="{00000000-0005-0000-0000-00008F3A0000}"/>
    <cellStyle name="40% - Accent3 2 2 2 2 3" xfId="6844" xr:uid="{00000000-0005-0000-0000-0000903A0000}"/>
    <cellStyle name="40% - Accent3 2 2 2 2 3 2" xfId="14816" xr:uid="{00000000-0005-0000-0000-0000913A0000}"/>
    <cellStyle name="40% - Accent3 2 2 2 2 3 3" xfId="22763" xr:uid="{00000000-0005-0000-0000-0000923A0000}"/>
    <cellStyle name="40% - Accent3 2 2 2 2 4" xfId="11280" xr:uid="{00000000-0005-0000-0000-0000933A0000}"/>
    <cellStyle name="40% - Accent3 2 2 2 2 5" xfId="19235" xr:uid="{00000000-0005-0000-0000-0000943A0000}"/>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3" xfId="23642" xr:uid="{00000000-0005-0000-0000-0000993A0000}"/>
    <cellStyle name="40% - Accent3 2 2 2 3 3" xfId="12158" xr:uid="{00000000-0005-0000-0000-00009A3A0000}"/>
    <cellStyle name="40% - Accent3 2 2 2 3 4" xfId="20113" xr:uid="{00000000-0005-0000-0000-00009B3A0000}"/>
    <cellStyle name="40% - Accent3 2 2 2 4" xfId="5953" xr:uid="{00000000-0005-0000-0000-00009C3A0000}"/>
    <cellStyle name="40% - Accent3 2 2 2 4 2" xfId="13937" xr:uid="{00000000-0005-0000-0000-00009D3A0000}"/>
    <cellStyle name="40% - Accent3 2 2 2 4 3" xfId="21885" xr:uid="{00000000-0005-0000-0000-00009E3A0000}"/>
    <cellStyle name="40% - Accent3 2 2 2 5" xfId="9506" xr:uid="{00000000-0005-0000-0000-00009F3A0000}"/>
    <cellStyle name="40% - Accent3 2 2 2 5 2" xfId="17464" xr:uid="{00000000-0005-0000-0000-0000A03A0000}"/>
    <cellStyle name="40% - Accent3 2 2 2 5 3" xfId="25408" xr:uid="{00000000-0005-0000-0000-0000A13A0000}"/>
    <cellStyle name="40% - Accent3 2 2 2 6" xfId="10402" xr:uid="{00000000-0005-0000-0000-0000A23A0000}"/>
    <cellStyle name="40% - Accent3 2 2 2 7" xfId="18357" xr:uid="{00000000-0005-0000-0000-0000A33A0000}"/>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3" xfId="24906" xr:uid="{00000000-0005-0000-0000-0000AA3A0000}"/>
    <cellStyle name="40% - Accent3 2 2 3 2 2 3" xfId="13422" xr:uid="{00000000-0005-0000-0000-0000AB3A0000}"/>
    <cellStyle name="40% - Accent3 2 2 3 2 2 4" xfId="21377" xr:uid="{00000000-0005-0000-0000-0000AC3A0000}"/>
    <cellStyle name="40% - Accent3 2 2 3 2 3" xfId="7230" xr:uid="{00000000-0005-0000-0000-0000AD3A0000}"/>
    <cellStyle name="40% - Accent3 2 2 3 2 3 2" xfId="15202" xr:uid="{00000000-0005-0000-0000-0000AE3A0000}"/>
    <cellStyle name="40% - Accent3 2 2 3 2 3 3" xfId="23149" xr:uid="{00000000-0005-0000-0000-0000AF3A0000}"/>
    <cellStyle name="40% - Accent3 2 2 3 2 4" xfId="11666" xr:uid="{00000000-0005-0000-0000-0000B03A0000}"/>
    <cellStyle name="40% - Accent3 2 2 3 2 5" xfId="19621" xr:uid="{00000000-0005-0000-0000-0000B13A0000}"/>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3" xfId="24028" xr:uid="{00000000-0005-0000-0000-0000B63A0000}"/>
    <cellStyle name="40% - Accent3 2 2 3 3 3" xfId="12544" xr:uid="{00000000-0005-0000-0000-0000B73A0000}"/>
    <cellStyle name="40% - Accent3 2 2 3 3 4" xfId="20499" xr:uid="{00000000-0005-0000-0000-0000B83A0000}"/>
    <cellStyle name="40% - Accent3 2 2 3 4" xfId="6349" xr:uid="{00000000-0005-0000-0000-0000B93A0000}"/>
    <cellStyle name="40% - Accent3 2 2 3 4 2" xfId="14324" xr:uid="{00000000-0005-0000-0000-0000BA3A0000}"/>
    <cellStyle name="40% - Accent3 2 2 3 4 3" xfId="22271" xr:uid="{00000000-0005-0000-0000-0000BB3A0000}"/>
    <cellStyle name="40% - Accent3 2 2 3 5" xfId="9892" xr:uid="{00000000-0005-0000-0000-0000BC3A0000}"/>
    <cellStyle name="40% - Accent3 2 2 3 5 2" xfId="17850" xr:uid="{00000000-0005-0000-0000-0000BD3A0000}"/>
    <cellStyle name="40% - Accent3 2 2 3 5 3" xfId="25794" xr:uid="{00000000-0005-0000-0000-0000BE3A0000}"/>
    <cellStyle name="40% - Accent3 2 2 3 6" xfId="10788" xr:uid="{00000000-0005-0000-0000-0000BF3A0000}"/>
    <cellStyle name="40% - Accent3 2 2 3 7" xfId="18743" xr:uid="{00000000-0005-0000-0000-0000C03A0000}"/>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3" xfId="24519" xr:uid="{00000000-0005-0000-0000-0000C63A0000}"/>
    <cellStyle name="40% - Accent3 2 2 4 2 3" xfId="13035" xr:uid="{00000000-0005-0000-0000-0000C73A0000}"/>
    <cellStyle name="40% - Accent3 2 2 4 2 4" xfId="20990" xr:uid="{00000000-0005-0000-0000-0000C83A0000}"/>
    <cellStyle name="40% - Accent3 2 2 4 3" xfId="6843" xr:uid="{00000000-0005-0000-0000-0000C93A0000}"/>
    <cellStyle name="40% - Accent3 2 2 4 3 2" xfId="14815" xr:uid="{00000000-0005-0000-0000-0000CA3A0000}"/>
    <cellStyle name="40% - Accent3 2 2 4 3 3" xfId="22762" xr:uid="{00000000-0005-0000-0000-0000CB3A0000}"/>
    <cellStyle name="40% - Accent3 2 2 4 4" xfId="11279" xr:uid="{00000000-0005-0000-0000-0000CC3A0000}"/>
    <cellStyle name="40% - Accent3 2 2 4 5" xfId="19234" xr:uid="{00000000-0005-0000-0000-0000CD3A0000}"/>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3" xfId="23641" xr:uid="{00000000-0005-0000-0000-0000D23A0000}"/>
    <cellStyle name="40% - Accent3 2 2 5 3" xfId="12157" xr:uid="{00000000-0005-0000-0000-0000D33A0000}"/>
    <cellStyle name="40% - Accent3 2 2 5 4" xfId="20112" xr:uid="{00000000-0005-0000-0000-0000D43A0000}"/>
    <cellStyle name="40% - Accent3 2 2 6" xfId="5952" xr:uid="{00000000-0005-0000-0000-0000D53A0000}"/>
    <cellStyle name="40% - Accent3 2 2 6 2" xfId="13936" xr:uid="{00000000-0005-0000-0000-0000D63A0000}"/>
    <cellStyle name="40% - Accent3 2 2 6 3" xfId="21884" xr:uid="{00000000-0005-0000-0000-0000D73A0000}"/>
    <cellStyle name="40% - Accent3 2 2 7" xfId="9505" xr:uid="{00000000-0005-0000-0000-0000D83A0000}"/>
    <cellStyle name="40% - Accent3 2 2 7 2" xfId="17463" xr:uid="{00000000-0005-0000-0000-0000D93A0000}"/>
    <cellStyle name="40% - Accent3 2 2 7 3" xfId="25407" xr:uid="{00000000-0005-0000-0000-0000DA3A0000}"/>
    <cellStyle name="40% - Accent3 2 2 8" xfId="10401" xr:uid="{00000000-0005-0000-0000-0000DB3A0000}"/>
    <cellStyle name="40% - Accent3 2 2 9" xfId="18356" xr:uid="{00000000-0005-0000-0000-0000DC3A0000}"/>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3" xfId="24521" xr:uid="{00000000-0005-0000-0000-0000E33A0000}"/>
    <cellStyle name="40% - Accent3 2 3 2 2 3" xfId="13037" xr:uid="{00000000-0005-0000-0000-0000E43A0000}"/>
    <cellStyle name="40% - Accent3 2 3 2 2 4" xfId="20992" xr:uid="{00000000-0005-0000-0000-0000E53A0000}"/>
    <cellStyle name="40% - Accent3 2 3 2 3" xfId="6845" xr:uid="{00000000-0005-0000-0000-0000E63A0000}"/>
    <cellStyle name="40% - Accent3 2 3 2 3 2" xfId="14817" xr:uid="{00000000-0005-0000-0000-0000E73A0000}"/>
    <cellStyle name="40% - Accent3 2 3 2 3 3" xfId="22764" xr:uid="{00000000-0005-0000-0000-0000E83A0000}"/>
    <cellStyle name="40% - Accent3 2 3 2 4" xfId="11281" xr:uid="{00000000-0005-0000-0000-0000E93A0000}"/>
    <cellStyle name="40% - Accent3 2 3 2 5" xfId="19236" xr:uid="{00000000-0005-0000-0000-0000EA3A0000}"/>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3" xfId="23643" xr:uid="{00000000-0005-0000-0000-0000EF3A0000}"/>
    <cellStyle name="40% - Accent3 2 3 3 3" xfId="12159" xr:uid="{00000000-0005-0000-0000-0000F03A0000}"/>
    <cellStyle name="40% - Accent3 2 3 3 4" xfId="20114" xr:uid="{00000000-0005-0000-0000-0000F13A0000}"/>
    <cellStyle name="40% - Accent3 2 3 4" xfId="5954" xr:uid="{00000000-0005-0000-0000-0000F23A0000}"/>
    <cellStyle name="40% - Accent3 2 3 4 2" xfId="13938" xr:uid="{00000000-0005-0000-0000-0000F33A0000}"/>
    <cellStyle name="40% - Accent3 2 3 4 3" xfId="21886" xr:uid="{00000000-0005-0000-0000-0000F43A0000}"/>
    <cellStyle name="40% - Accent3 2 3 5" xfId="9507" xr:uid="{00000000-0005-0000-0000-0000F53A0000}"/>
    <cellStyle name="40% - Accent3 2 3 5 2" xfId="17465" xr:uid="{00000000-0005-0000-0000-0000F63A0000}"/>
    <cellStyle name="40% - Accent3 2 3 5 3" xfId="25409" xr:uid="{00000000-0005-0000-0000-0000F73A0000}"/>
    <cellStyle name="40% - Accent3 2 3 6" xfId="10403" xr:uid="{00000000-0005-0000-0000-0000F83A0000}"/>
    <cellStyle name="40% - Accent3 2 3 7" xfId="18358" xr:uid="{00000000-0005-0000-0000-0000F93A0000}"/>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3" xfId="24905" xr:uid="{00000000-0005-0000-0000-0000003B0000}"/>
    <cellStyle name="40% - Accent3 2 4 2 2 3" xfId="13421" xr:uid="{00000000-0005-0000-0000-0000013B0000}"/>
    <cellStyle name="40% - Accent3 2 4 2 2 4" xfId="21376" xr:uid="{00000000-0005-0000-0000-0000023B0000}"/>
    <cellStyle name="40% - Accent3 2 4 2 3" xfId="7229" xr:uid="{00000000-0005-0000-0000-0000033B0000}"/>
    <cellStyle name="40% - Accent3 2 4 2 3 2" xfId="15201" xr:uid="{00000000-0005-0000-0000-0000043B0000}"/>
    <cellStyle name="40% - Accent3 2 4 2 3 3" xfId="23148" xr:uid="{00000000-0005-0000-0000-0000053B0000}"/>
    <cellStyle name="40% - Accent3 2 4 2 4" xfId="11665" xr:uid="{00000000-0005-0000-0000-0000063B0000}"/>
    <cellStyle name="40% - Accent3 2 4 2 5" xfId="19620" xr:uid="{00000000-0005-0000-0000-0000073B0000}"/>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3" xfId="24027" xr:uid="{00000000-0005-0000-0000-00000C3B0000}"/>
    <cellStyle name="40% - Accent3 2 4 3 3" xfId="12543" xr:uid="{00000000-0005-0000-0000-00000D3B0000}"/>
    <cellStyle name="40% - Accent3 2 4 3 4" xfId="20498" xr:uid="{00000000-0005-0000-0000-00000E3B0000}"/>
    <cellStyle name="40% - Accent3 2 4 4" xfId="6348" xr:uid="{00000000-0005-0000-0000-00000F3B0000}"/>
    <cellStyle name="40% - Accent3 2 4 4 2" xfId="14323" xr:uid="{00000000-0005-0000-0000-0000103B0000}"/>
    <cellStyle name="40% - Accent3 2 4 4 3" xfId="22270" xr:uid="{00000000-0005-0000-0000-0000113B0000}"/>
    <cellStyle name="40% - Accent3 2 4 5" xfId="9891" xr:uid="{00000000-0005-0000-0000-0000123B0000}"/>
    <cellStyle name="40% - Accent3 2 4 5 2" xfId="17849" xr:uid="{00000000-0005-0000-0000-0000133B0000}"/>
    <cellStyle name="40% - Accent3 2 4 5 3" xfId="25793" xr:uid="{00000000-0005-0000-0000-0000143B0000}"/>
    <cellStyle name="40% - Accent3 2 4 6" xfId="10787" xr:uid="{00000000-0005-0000-0000-0000153B0000}"/>
    <cellStyle name="40% - Accent3 2 4 7" xfId="18742" xr:uid="{00000000-0005-0000-0000-0000163B0000}"/>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3" xfId="24518" xr:uid="{00000000-0005-0000-0000-00001C3B0000}"/>
    <cellStyle name="40% - Accent3 2 5 2 3" xfId="13034" xr:uid="{00000000-0005-0000-0000-00001D3B0000}"/>
    <cellStyle name="40% - Accent3 2 5 2 4" xfId="20989" xr:uid="{00000000-0005-0000-0000-00001E3B0000}"/>
    <cellStyle name="40% - Accent3 2 5 3" xfId="6842" xr:uid="{00000000-0005-0000-0000-00001F3B0000}"/>
    <cellStyle name="40% - Accent3 2 5 3 2" xfId="14814" xr:uid="{00000000-0005-0000-0000-0000203B0000}"/>
    <cellStyle name="40% - Accent3 2 5 3 3" xfId="22761" xr:uid="{00000000-0005-0000-0000-0000213B0000}"/>
    <cellStyle name="40% - Accent3 2 5 4" xfId="11278" xr:uid="{00000000-0005-0000-0000-0000223B0000}"/>
    <cellStyle name="40% - Accent3 2 5 5" xfId="19233" xr:uid="{00000000-0005-0000-0000-0000233B0000}"/>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3" xfId="23640" xr:uid="{00000000-0005-0000-0000-0000283B0000}"/>
    <cellStyle name="40% - Accent3 2 6 3" xfId="12156" xr:uid="{00000000-0005-0000-0000-0000293B0000}"/>
    <cellStyle name="40% - Accent3 2 6 4" xfId="20111" xr:uid="{00000000-0005-0000-0000-00002A3B0000}"/>
    <cellStyle name="40% - Accent3 2 7" xfId="5951" xr:uid="{00000000-0005-0000-0000-00002B3B0000}"/>
    <cellStyle name="40% - Accent3 2 7 2" xfId="13935" xr:uid="{00000000-0005-0000-0000-00002C3B0000}"/>
    <cellStyle name="40% - Accent3 2 7 3" xfId="21883" xr:uid="{00000000-0005-0000-0000-00002D3B0000}"/>
    <cellStyle name="40% - Accent3 2 8" xfId="9504" xr:uid="{00000000-0005-0000-0000-00002E3B0000}"/>
    <cellStyle name="40% - Accent3 2 8 2" xfId="17462" xr:uid="{00000000-0005-0000-0000-00002F3B0000}"/>
    <cellStyle name="40% - Accent3 2 8 3" xfId="25406" xr:uid="{00000000-0005-0000-0000-0000303B0000}"/>
    <cellStyle name="40% - Accent3 2 9" xfId="10400" xr:uid="{00000000-0005-0000-0000-0000313B0000}"/>
    <cellStyle name="40% - Accent3 2_Exh G" xfId="2973" xr:uid="{00000000-0005-0000-0000-0000323B0000}"/>
    <cellStyle name="40% - Accent3 3" xfId="456" xr:uid="{00000000-0005-0000-0000-0000333B0000}"/>
    <cellStyle name="40% - Accent3 3 10" xfId="18359" xr:uid="{00000000-0005-0000-0000-0000343B0000}"/>
    <cellStyle name="40% - Accent3 3 2" xfId="457" xr:uid="{00000000-0005-0000-0000-0000353B0000}"/>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3" xfId="24524" xr:uid="{00000000-0005-0000-0000-00003B3B0000}"/>
    <cellStyle name="40% - Accent3 3 2 2 2 2 3" xfId="13040" xr:uid="{00000000-0005-0000-0000-00003C3B0000}"/>
    <cellStyle name="40% - Accent3 3 2 2 2 2 4" xfId="20995" xr:uid="{00000000-0005-0000-0000-00003D3B0000}"/>
    <cellStyle name="40% - Accent3 3 2 2 2 3" xfId="6848" xr:uid="{00000000-0005-0000-0000-00003E3B0000}"/>
    <cellStyle name="40% - Accent3 3 2 2 2 3 2" xfId="14820" xr:uid="{00000000-0005-0000-0000-00003F3B0000}"/>
    <cellStyle name="40% - Accent3 3 2 2 2 3 3" xfId="22767" xr:uid="{00000000-0005-0000-0000-0000403B0000}"/>
    <cellStyle name="40% - Accent3 3 2 2 2 4" xfId="11284" xr:uid="{00000000-0005-0000-0000-0000413B0000}"/>
    <cellStyle name="40% - Accent3 3 2 2 2 5" xfId="19239" xr:uid="{00000000-0005-0000-0000-0000423B0000}"/>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3" xfId="23646" xr:uid="{00000000-0005-0000-0000-0000473B0000}"/>
    <cellStyle name="40% - Accent3 3 2 2 3 3" xfId="12162" xr:uid="{00000000-0005-0000-0000-0000483B0000}"/>
    <cellStyle name="40% - Accent3 3 2 2 3 4" xfId="20117" xr:uid="{00000000-0005-0000-0000-0000493B0000}"/>
    <cellStyle name="40% - Accent3 3 2 2 4" xfId="5957" xr:uid="{00000000-0005-0000-0000-00004A3B0000}"/>
    <cellStyle name="40% - Accent3 3 2 2 4 2" xfId="13941" xr:uid="{00000000-0005-0000-0000-00004B3B0000}"/>
    <cellStyle name="40% - Accent3 3 2 2 4 3" xfId="21889" xr:uid="{00000000-0005-0000-0000-00004C3B0000}"/>
    <cellStyle name="40% - Accent3 3 2 2 5" xfId="9510" xr:uid="{00000000-0005-0000-0000-00004D3B0000}"/>
    <cellStyle name="40% - Accent3 3 2 2 5 2" xfId="17468" xr:uid="{00000000-0005-0000-0000-00004E3B0000}"/>
    <cellStyle name="40% - Accent3 3 2 2 5 3" xfId="25412" xr:uid="{00000000-0005-0000-0000-00004F3B0000}"/>
    <cellStyle name="40% - Accent3 3 2 2 6" xfId="10406" xr:uid="{00000000-0005-0000-0000-0000503B0000}"/>
    <cellStyle name="40% - Accent3 3 2 2 7" xfId="18361" xr:uid="{00000000-0005-0000-0000-0000513B0000}"/>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3" xfId="24908" xr:uid="{00000000-0005-0000-0000-0000583B0000}"/>
    <cellStyle name="40% - Accent3 3 2 3 2 2 3" xfId="13424" xr:uid="{00000000-0005-0000-0000-0000593B0000}"/>
    <cellStyle name="40% - Accent3 3 2 3 2 2 4" xfId="21379" xr:uid="{00000000-0005-0000-0000-00005A3B0000}"/>
    <cellStyle name="40% - Accent3 3 2 3 2 3" xfId="7232" xr:uid="{00000000-0005-0000-0000-00005B3B0000}"/>
    <cellStyle name="40% - Accent3 3 2 3 2 3 2" xfId="15204" xr:uid="{00000000-0005-0000-0000-00005C3B0000}"/>
    <cellStyle name="40% - Accent3 3 2 3 2 3 3" xfId="23151" xr:uid="{00000000-0005-0000-0000-00005D3B0000}"/>
    <cellStyle name="40% - Accent3 3 2 3 2 4" xfId="11668" xr:uid="{00000000-0005-0000-0000-00005E3B0000}"/>
    <cellStyle name="40% - Accent3 3 2 3 2 5" xfId="19623" xr:uid="{00000000-0005-0000-0000-00005F3B0000}"/>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3" xfId="24030" xr:uid="{00000000-0005-0000-0000-0000643B0000}"/>
    <cellStyle name="40% - Accent3 3 2 3 3 3" xfId="12546" xr:uid="{00000000-0005-0000-0000-0000653B0000}"/>
    <cellStyle name="40% - Accent3 3 2 3 3 4" xfId="20501" xr:uid="{00000000-0005-0000-0000-0000663B0000}"/>
    <cellStyle name="40% - Accent3 3 2 3 4" xfId="6351" xr:uid="{00000000-0005-0000-0000-0000673B0000}"/>
    <cellStyle name="40% - Accent3 3 2 3 4 2" xfId="14326" xr:uid="{00000000-0005-0000-0000-0000683B0000}"/>
    <cellStyle name="40% - Accent3 3 2 3 4 3" xfId="22273" xr:uid="{00000000-0005-0000-0000-0000693B0000}"/>
    <cellStyle name="40% - Accent3 3 2 3 5" xfId="9894" xr:uid="{00000000-0005-0000-0000-00006A3B0000}"/>
    <cellStyle name="40% - Accent3 3 2 3 5 2" xfId="17852" xr:uid="{00000000-0005-0000-0000-00006B3B0000}"/>
    <cellStyle name="40% - Accent3 3 2 3 5 3" xfId="25796" xr:uid="{00000000-0005-0000-0000-00006C3B0000}"/>
    <cellStyle name="40% - Accent3 3 2 3 6" xfId="10790" xr:uid="{00000000-0005-0000-0000-00006D3B0000}"/>
    <cellStyle name="40% - Accent3 3 2 3 7" xfId="18745" xr:uid="{00000000-0005-0000-0000-00006E3B0000}"/>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3" xfId="24523" xr:uid="{00000000-0005-0000-0000-0000743B0000}"/>
    <cellStyle name="40% - Accent3 3 2 4 2 3" xfId="13039" xr:uid="{00000000-0005-0000-0000-0000753B0000}"/>
    <cellStyle name="40% - Accent3 3 2 4 2 4" xfId="20994" xr:uid="{00000000-0005-0000-0000-0000763B0000}"/>
    <cellStyle name="40% - Accent3 3 2 4 3" xfId="6847" xr:uid="{00000000-0005-0000-0000-0000773B0000}"/>
    <cellStyle name="40% - Accent3 3 2 4 3 2" xfId="14819" xr:uid="{00000000-0005-0000-0000-0000783B0000}"/>
    <cellStyle name="40% - Accent3 3 2 4 3 3" xfId="22766" xr:uid="{00000000-0005-0000-0000-0000793B0000}"/>
    <cellStyle name="40% - Accent3 3 2 4 4" xfId="11283" xr:uid="{00000000-0005-0000-0000-00007A3B0000}"/>
    <cellStyle name="40% - Accent3 3 2 4 5" xfId="19238" xr:uid="{00000000-0005-0000-0000-00007B3B0000}"/>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3" xfId="23645" xr:uid="{00000000-0005-0000-0000-0000803B0000}"/>
    <cellStyle name="40% - Accent3 3 2 5 3" xfId="12161" xr:uid="{00000000-0005-0000-0000-0000813B0000}"/>
    <cellStyle name="40% - Accent3 3 2 5 4" xfId="20116" xr:uid="{00000000-0005-0000-0000-0000823B0000}"/>
    <cellStyle name="40% - Accent3 3 2 6" xfId="5956" xr:uid="{00000000-0005-0000-0000-0000833B0000}"/>
    <cellStyle name="40% - Accent3 3 2 6 2" xfId="13940" xr:uid="{00000000-0005-0000-0000-0000843B0000}"/>
    <cellStyle name="40% - Accent3 3 2 6 3" xfId="21888" xr:uid="{00000000-0005-0000-0000-0000853B0000}"/>
    <cellStyle name="40% - Accent3 3 2 7" xfId="9509" xr:uid="{00000000-0005-0000-0000-0000863B0000}"/>
    <cellStyle name="40% - Accent3 3 2 7 2" xfId="17467" xr:uid="{00000000-0005-0000-0000-0000873B0000}"/>
    <cellStyle name="40% - Accent3 3 2 7 3" xfId="25411" xr:uid="{00000000-0005-0000-0000-0000883B0000}"/>
    <cellStyle name="40% - Accent3 3 2 8" xfId="10405" xr:uid="{00000000-0005-0000-0000-0000893B0000}"/>
    <cellStyle name="40% - Accent3 3 2 9" xfId="18360" xr:uid="{00000000-0005-0000-0000-00008A3B0000}"/>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3" xfId="24525" xr:uid="{00000000-0005-0000-0000-0000913B0000}"/>
    <cellStyle name="40% - Accent3 3 3 2 2 3" xfId="13041" xr:uid="{00000000-0005-0000-0000-0000923B0000}"/>
    <cellStyle name="40% - Accent3 3 3 2 2 4" xfId="20996" xr:uid="{00000000-0005-0000-0000-0000933B0000}"/>
    <cellStyle name="40% - Accent3 3 3 2 3" xfId="6849" xr:uid="{00000000-0005-0000-0000-0000943B0000}"/>
    <cellStyle name="40% - Accent3 3 3 2 3 2" xfId="14821" xr:uid="{00000000-0005-0000-0000-0000953B0000}"/>
    <cellStyle name="40% - Accent3 3 3 2 3 3" xfId="22768" xr:uid="{00000000-0005-0000-0000-0000963B0000}"/>
    <cellStyle name="40% - Accent3 3 3 2 4" xfId="11285" xr:uid="{00000000-0005-0000-0000-0000973B0000}"/>
    <cellStyle name="40% - Accent3 3 3 2 5" xfId="19240" xr:uid="{00000000-0005-0000-0000-0000983B0000}"/>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3" xfId="23647" xr:uid="{00000000-0005-0000-0000-00009D3B0000}"/>
    <cellStyle name="40% - Accent3 3 3 3 3" xfId="12163" xr:uid="{00000000-0005-0000-0000-00009E3B0000}"/>
    <cellStyle name="40% - Accent3 3 3 3 4" xfId="20118" xr:uid="{00000000-0005-0000-0000-00009F3B0000}"/>
    <cellStyle name="40% - Accent3 3 3 4" xfId="5958" xr:uid="{00000000-0005-0000-0000-0000A03B0000}"/>
    <cellStyle name="40% - Accent3 3 3 4 2" xfId="13942" xr:uid="{00000000-0005-0000-0000-0000A13B0000}"/>
    <cellStyle name="40% - Accent3 3 3 4 3" xfId="21890" xr:uid="{00000000-0005-0000-0000-0000A23B0000}"/>
    <cellStyle name="40% - Accent3 3 3 5" xfId="9511" xr:uid="{00000000-0005-0000-0000-0000A33B0000}"/>
    <cellStyle name="40% - Accent3 3 3 5 2" xfId="17469" xr:uid="{00000000-0005-0000-0000-0000A43B0000}"/>
    <cellStyle name="40% - Accent3 3 3 5 3" xfId="25413" xr:uid="{00000000-0005-0000-0000-0000A53B0000}"/>
    <cellStyle name="40% - Accent3 3 3 6" xfId="10407" xr:uid="{00000000-0005-0000-0000-0000A63B0000}"/>
    <cellStyle name="40% - Accent3 3 3 7" xfId="18362" xr:uid="{00000000-0005-0000-0000-0000A73B0000}"/>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3" xfId="24907" xr:uid="{00000000-0005-0000-0000-0000AE3B0000}"/>
    <cellStyle name="40% - Accent3 3 4 2 2 3" xfId="13423" xr:uid="{00000000-0005-0000-0000-0000AF3B0000}"/>
    <cellStyle name="40% - Accent3 3 4 2 2 4" xfId="21378" xr:uid="{00000000-0005-0000-0000-0000B03B0000}"/>
    <cellStyle name="40% - Accent3 3 4 2 3" xfId="7231" xr:uid="{00000000-0005-0000-0000-0000B13B0000}"/>
    <cellStyle name="40% - Accent3 3 4 2 3 2" xfId="15203" xr:uid="{00000000-0005-0000-0000-0000B23B0000}"/>
    <cellStyle name="40% - Accent3 3 4 2 3 3" xfId="23150" xr:uid="{00000000-0005-0000-0000-0000B33B0000}"/>
    <cellStyle name="40% - Accent3 3 4 2 4" xfId="11667" xr:uid="{00000000-0005-0000-0000-0000B43B0000}"/>
    <cellStyle name="40% - Accent3 3 4 2 5" xfId="19622" xr:uid="{00000000-0005-0000-0000-0000B53B0000}"/>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3" xfId="24029" xr:uid="{00000000-0005-0000-0000-0000BA3B0000}"/>
    <cellStyle name="40% - Accent3 3 4 3 3" xfId="12545" xr:uid="{00000000-0005-0000-0000-0000BB3B0000}"/>
    <cellStyle name="40% - Accent3 3 4 3 4" xfId="20500" xr:uid="{00000000-0005-0000-0000-0000BC3B0000}"/>
    <cellStyle name="40% - Accent3 3 4 4" xfId="6350" xr:uid="{00000000-0005-0000-0000-0000BD3B0000}"/>
    <cellStyle name="40% - Accent3 3 4 4 2" xfId="14325" xr:uid="{00000000-0005-0000-0000-0000BE3B0000}"/>
    <cellStyle name="40% - Accent3 3 4 4 3" xfId="22272" xr:uid="{00000000-0005-0000-0000-0000BF3B0000}"/>
    <cellStyle name="40% - Accent3 3 4 5" xfId="9893" xr:uid="{00000000-0005-0000-0000-0000C03B0000}"/>
    <cellStyle name="40% - Accent3 3 4 5 2" xfId="17851" xr:uid="{00000000-0005-0000-0000-0000C13B0000}"/>
    <cellStyle name="40% - Accent3 3 4 5 3" xfId="25795" xr:uid="{00000000-0005-0000-0000-0000C23B0000}"/>
    <cellStyle name="40% - Accent3 3 4 6" xfId="10789" xr:uid="{00000000-0005-0000-0000-0000C33B0000}"/>
    <cellStyle name="40% - Accent3 3 4 7" xfId="18744" xr:uid="{00000000-0005-0000-0000-0000C43B0000}"/>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3" xfId="24522" xr:uid="{00000000-0005-0000-0000-0000CA3B0000}"/>
    <cellStyle name="40% - Accent3 3 5 2 3" xfId="13038" xr:uid="{00000000-0005-0000-0000-0000CB3B0000}"/>
    <cellStyle name="40% - Accent3 3 5 2 4" xfId="20993" xr:uid="{00000000-0005-0000-0000-0000CC3B0000}"/>
    <cellStyle name="40% - Accent3 3 5 3" xfId="6846" xr:uid="{00000000-0005-0000-0000-0000CD3B0000}"/>
    <cellStyle name="40% - Accent3 3 5 3 2" xfId="14818" xr:uid="{00000000-0005-0000-0000-0000CE3B0000}"/>
    <cellStyle name="40% - Accent3 3 5 3 3" xfId="22765" xr:uid="{00000000-0005-0000-0000-0000CF3B0000}"/>
    <cellStyle name="40% - Accent3 3 5 4" xfId="11282" xr:uid="{00000000-0005-0000-0000-0000D03B0000}"/>
    <cellStyle name="40% - Accent3 3 5 5" xfId="19237" xr:uid="{00000000-0005-0000-0000-0000D13B0000}"/>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3" xfId="23644" xr:uid="{00000000-0005-0000-0000-0000D63B0000}"/>
    <cellStyle name="40% - Accent3 3 6 3" xfId="12160" xr:uid="{00000000-0005-0000-0000-0000D73B0000}"/>
    <cellStyle name="40% - Accent3 3 6 4" xfId="20115" xr:uid="{00000000-0005-0000-0000-0000D83B0000}"/>
    <cellStyle name="40% - Accent3 3 7" xfId="5955" xr:uid="{00000000-0005-0000-0000-0000D93B0000}"/>
    <cellStyle name="40% - Accent3 3 7 2" xfId="13939" xr:uid="{00000000-0005-0000-0000-0000DA3B0000}"/>
    <cellStyle name="40% - Accent3 3 7 3" xfId="21887" xr:uid="{00000000-0005-0000-0000-0000DB3B0000}"/>
    <cellStyle name="40% - Accent3 3 8" xfId="9508" xr:uid="{00000000-0005-0000-0000-0000DC3B0000}"/>
    <cellStyle name="40% - Accent3 3 8 2" xfId="17466" xr:uid="{00000000-0005-0000-0000-0000DD3B0000}"/>
    <cellStyle name="40% - Accent3 3 8 3" xfId="25410" xr:uid="{00000000-0005-0000-0000-0000DE3B0000}"/>
    <cellStyle name="40% - Accent3 3 9" xfId="10404" xr:uid="{00000000-0005-0000-0000-0000DF3B0000}"/>
    <cellStyle name="40% - Accent3 3_Exh G" xfId="2985" xr:uid="{00000000-0005-0000-0000-0000E03B0000}"/>
    <cellStyle name="40% - Accent3 4" xfId="460" xr:uid="{00000000-0005-0000-0000-0000E13B0000}"/>
    <cellStyle name="40% - Accent3 4 10" xfId="18363" xr:uid="{00000000-0005-0000-0000-0000E23B0000}"/>
    <cellStyle name="40% - Accent3 4 2" xfId="461" xr:uid="{00000000-0005-0000-0000-0000E33B0000}"/>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3" xfId="24528" xr:uid="{00000000-0005-0000-0000-0000E93B0000}"/>
    <cellStyle name="40% - Accent3 4 2 2 2 2 3" xfId="13044" xr:uid="{00000000-0005-0000-0000-0000EA3B0000}"/>
    <cellStyle name="40% - Accent3 4 2 2 2 2 4" xfId="20999" xr:uid="{00000000-0005-0000-0000-0000EB3B0000}"/>
    <cellStyle name="40% - Accent3 4 2 2 2 3" xfId="6852" xr:uid="{00000000-0005-0000-0000-0000EC3B0000}"/>
    <cellStyle name="40% - Accent3 4 2 2 2 3 2" xfId="14824" xr:uid="{00000000-0005-0000-0000-0000ED3B0000}"/>
    <cellStyle name="40% - Accent3 4 2 2 2 3 3" xfId="22771" xr:uid="{00000000-0005-0000-0000-0000EE3B0000}"/>
    <cellStyle name="40% - Accent3 4 2 2 2 4" xfId="11288" xr:uid="{00000000-0005-0000-0000-0000EF3B0000}"/>
    <cellStyle name="40% - Accent3 4 2 2 2 5" xfId="19243" xr:uid="{00000000-0005-0000-0000-0000F03B0000}"/>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3" xfId="23650" xr:uid="{00000000-0005-0000-0000-0000F53B0000}"/>
    <cellStyle name="40% - Accent3 4 2 2 3 3" xfId="12166" xr:uid="{00000000-0005-0000-0000-0000F63B0000}"/>
    <cellStyle name="40% - Accent3 4 2 2 3 4" xfId="20121" xr:uid="{00000000-0005-0000-0000-0000F73B0000}"/>
    <cellStyle name="40% - Accent3 4 2 2 4" xfId="5961" xr:uid="{00000000-0005-0000-0000-0000F83B0000}"/>
    <cellStyle name="40% - Accent3 4 2 2 4 2" xfId="13945" xr:uid="{00000000-0005-0000-0000-0000F93B0000}"/>
    <cellStyle name="40% - Accent3 4 2 2 4 3" xfId="21893" xr:uid="{00000000-0005-0000-0000-0000FA3B0000}"/>
    <cellStyle name="40% - Accent3 4 2 2 5" xfId="9514" xr:uid="{00000000-0005-0000-0000-0000FB3B0000}"/>
    <cellStyle name="40% - Accent3 4 2 2 5 2" xfId="17472" xr:uid="{00000000-0005-0000-0000-0000FC3B0000}"/>
    <cellStyle name="40% - Accent3 4 2 2 5 3" xfId="25416" xr:uid="{00000000-0005-0000-0000-0000FD3B0000}"/>
    <cellStyle name="40% - Accent3 4 2 2 6" xfId="10410" xr:uid="{00000000-0005-0000-0000-0000FE3B0000}"/>
    <cellStyle name="40% - Accent3 4 2 2 7" xfId="18365" xr:uid="{00000000-0005-0000-0000-0000FF3B0000}"/>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3" xfId="24910" xr:uid="{00000000-0005-0000-0000-0000063C0000}"/>
    <cellStyle name="40% - Accent3 4 2 3 2 2 3" xfId="13426" xr:uid="{00000000-0005-0000-0000-0000073C0000}"/>
    <cellStyle name="40% - Accent3 4 2 3 2 2 4" xfId="21381" xr:uid="{00000000-0005-0000-0000-0000083C0000}"/>
    <cellStyle name="40% - Accent3 4 2 3 2 3" xfId="7234" xr:uid="{00000000-0005-0000-0000-0000093C0000}"/>
    <cellStyle name="40% - Accent3 4 2 3 2 3 2" xfId="15206" xr:uid="{00000000-0005-0000-0000-00000A3C0000}"/>
    <cellStyle name="40% - Accent3 4 2 3 2 3 3" xfId="23153" xr:uid="{00000000-0005-0000-0000-00000B3C0000}"/>
    <cellStyle name="40% - Accent3 4 2 3 2 4" xfId="11670" xr:uid="{00000000-0005-0000-0000-00000C3C0000}"/>
    <cellStyle name="40% - Accent3 4 2 3 2 5" xfId="19625" xr:uid="{00000000-0005-0000-0000-00000D3C0000}"/>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3" xfId="24032" xr:uid="{00000000-0005-0000-0000-0000123C0000}"/>
    <cellStyle name="40% - Accent3 4 2 3 3 3" xfId="12548" xr:uid="{00000000-0005-0000-0000-0000133C0000}"/>
    <cellStyle name="40% - Accent3 4 2 3 3 4" xfId="20503" xr:uid="{00000000-0005-0000-0000-0000143C0000}"/>
    <cellStyle name="40% - Accent3 4 2 3 4" xfId="6353" xr:uid="{00000000-0005-0000-0000-0000153C0000}"/>
    <cellStyle name="40% - Accent3 4 2 3 4 2" xfId="14328" xr:uid="{00000000-0005-0000-0000-0000163C0000}"/>
    <cellStyle name="40% - Accent3 4 2 3 4 3" xfId="22275" xr:uid="{00000000-0005-0000-0000-0000173C0000}"/>
    <cellStyle name="40% - Accent3 4 2 3 5" xfId="9896" xr:uid="{00000000-0005-0000-0000-0000183C0000}"/>
    <cellStyle name="40% - Accent3 4 2 3 5 2" xfId="17854" xr:uid="{00000000-0005-0000-0000-0000193C0000}"/>
    <cellStyle name="40% - Accent3 4 2 3 5 3" xfId="25798" xr:uid="{00000000-0005-0000-0000-00001A3C0000}"/>
    <cellStyle name="40% - Accent3 4 2 3 6" xfId="10792" xr:uid="{00000000-0005-0000-0000-00001B3C0000}"/>
    <cellStyle name="40% - Accent3 4 2 3 7" xfId="18747" xr:uid="{00000000-0005-0000-0000-00001C3C0000}"/>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3" xfId="24527" xr:uid="{00000000-0005-0000-0000-0000223C0000}"/>
    <cellStyle name="40% - Accent3 4 2 4 2 3" xfId="13043" xr:uid="{00000000-0005-0000-0000-0000233C0000}"/>
    <cellStyle name="40% - Accent3 4 2 4 2 4" xfId="20998" xr:uid="{00000000-0005-0000-0000-0000243C0000}"/>
    <cellStyle name="40% - Accent3 4 2 4 3" xfId="6851" xr:uid="{00000000-0005-0000-0000-0000253C0000}"/>
    <cellStyle name="40% - Accent3 4 2 4 3 2" xfId="14823" xr:uid="{00000000-0005-0000-0000-0000263C0000}"/>
    <cellStyle name="40% - Accent3 4 2 4 3 3" xfId="22770" xr:uid="{00000000-0005-0000-0000-0000273C0000}"/>
    <cellStyle name="40% - Accent3 4 2 4 4" xfId="11287" xr:uid="{00000000-0005-0000-0000-0000283C0000}"/>
    <cellStyle name="40% - Accent3 4 2 4 5" xfId="19242" xr:uid="{00000000-0005-0000-0000-0000293C0000}"/>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3" xfId="23649" xr:uid="{00000000-0005-0000-0000-00002E3C0000}"/>
    <cellStyle name="40% - Accent3 4 2 5 3" xfId="12165" xr:uid="{00000000-0005-0000-0000-00002F3C0000}"/>
    <cellStyle name="40% - Accent3 4 2 5 4" xfId="20120" xr:uid="{00000000-0005-0000-0000-0000303C0000}"/>
    <cellStyle name="40% - Accent3 4 2 6" xfId="5960" xr:uid="{00000000-0005-0000-0000-0000313C0000}"/>
    <cellStyle name="40% - Accent3 4 2 6 2" xfId="13944" xr:uid="{00000000-0005-0000-0000-0000323C0000}"/>
    <cellStyle name="40% - Accent3 4 2 6 3" xfId="21892" xr:uid="{00000000-0005-0000-0000-0000333C0000}"/>
    <cellStyle name="40% - Accent3 4 2 7" xfId="9513" xr:uid="{00000000-0005-0000-0000-0000343C0000}"/>
    <cellStyle name="40% - Accent3 4 2 7 2" xfId="17471" xr:uid="{00000000-0005-0000-0000-0000353C0000}"/>
    <cellStyle name="40% - Accent3 4 2 7 3" xfId="25415" xr:uid="{00000000-0005-0000-0000-0000363C0000}"/>
    <cellStyle name="40% - Accent3 4 2 8" xfId="10409" xr:uid="{00000000-0005-0000-0000-0000373C0000}"/>
    <cellStyle name="40% - Accent3 4 2 9" xfId="18364" xr:uid="{00000000-0005-0000-0000-0000383C0000}"/>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3" xfId="24529" xr:uid="{00000000-0005-0000-0000-00003F3C0000}"/>
    <cellStyle name="40% - Accent3 4 3 2 2 3" xfId="13045" xr:uid="{00000000-0005-0000-0000-0000403C0000}"/>
    <cellStyle name="40% - Accent3 4 3 2 2 4" xfId="21000" xr:uid="{00000000-0005-0000-0000-0000413C0000}"/>
    <cellStyle name="40% - Accent3 4 3 2 3" xfId="6853" xr:uid="{00000000-0005-0000-0000-0000423C0000}"/>
    <cellStyle name="40% - Accent3 4 3 2 3 2" xfId="14825" xr:uid="{00000000-0005-0000-0000-0000433C0000}"/>
    <cellStyle name="40% - Accent3 4 3 2 3 3" xfId="22772" xr:uid="{00000000-0005-0000-0000-0000443C0000}"/>
    <cellStyle name="40% - Accent3 4 3 2 4" xfId="11289" xr:uid="{00000000-0005-0000-0000-0000453C0000}"/>
    <cellStyle name="40% - Accent3 4 3 2 5" xfId="19244" xr:uid="{00000000-0005-0000-0000-0000463C0000}"/>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3" xfId="23651" xr:uid="{00000000-0005-0000-0000-00004B3C0000}"/>
    <cellStyle name="40% - Accent3 4 3 3 3" xfId="12167" xr:uid="{00000000-0005-0000-0000-00004C3C0000}"/>
    <cellStyle name="40% - Accent3 4 3 3 4" xfId="20122" xr:uid="{00000000-0005-0000-0000-00004D3C0000}"/>
    <cellStyle name="40% - Accent3 4 3 4" xfId="5962" xr:uid="{00000000-0005-0000-0000-00004E3C0000}"/>
    <cellStyle name="40% - Accent3 4 3 4 2" xfId="13946" xr:uid="{00000000-0005-0000-0000-00004F3C0000}"/>
    <cellStyle name="40% - Accent3 4 3 4 3" xfId="21894" xr:uid="{00000000-0005-0000-0000-0000503C0000}"/>
    <cellStyle name="40% - Accent3 4 3 5" xfId="9515" xr:uid="{00000000-0005-0000-0000-0000513C0000}"/>
    <cellStyle name="40% - Accent3 4 3 5 2" xfId="17473" xr:uid="{00000000-0005-0000-0000-0000523C0000}"/>
    <cellStyle name="40% - Accent3 4 3 5 3" xfId="25417" xr:uid="{00000000-0005-0000-0000-0000533C0000}"/>
    <cellStyle name="40% - Accent3 4 3 6" xfId="10411" xr:uid="{00000000-0005-0000-0000-0000543C0000}"/>
    <cellStyle name="40% - Accent3 4 3 7" xfId="18366" xr:uid="{00000000-0005-0000-0000-0000553C0000}"/>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3" xfId="24909" xr:uid="{00000000-0005-0000-0000-00005C3C0000}"/>
    <cellStyle name="40% - Accent3 4 4 2 2 3" xfId="13425" xr:uid="{00000000-0005-0000-0000-00005D3C0000}"/>
    <cellStyle name="40% - Accent3 4 4 2 2 4" xfId="21380" xr:uid="{00000000-0005-0000-0000-00005E3C0000}"/>
    <cellStyle name="40% - Accent3 4 4 2 3" xfId="7233" xr:uid="{00000000-0005-0000-0000-00005F3C0000}"/>
    <cellStyle name="40% - Accent3 4 4 2 3 2" xfId="15205" xr:uid="{00000000-0005-0000-0000-0000603C0000}"/>
    <cellStyle name="40% - Accent3 4 4 2 3 3" xfId="23152" xr:uid="{00000000-0005-0000-0000-0000613C0000}"/>
    <cellStyle name="40% - Accent3 4 4 2 4" xfId="11669" xr:uid="{00000000-0005-0000-0000-0000623C0000}"/>
    <cellStyle name="40% - Accent3 4 4 2 5" xfId="19624" xr:uid="{00000000-0005-0000-0000-0000633C0000}"/>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3" xfId="24031" xr:uid="{00000000-0005-0000-0000-0000683C0000}"/>
    <cellStyle name="40% - Accent3 4 4 3 3" xfId="12547" xr:uid="{00000000-0005-0000-0000-0000693C0000}"/>
    <cellStyle name="40% - Accent3 4 4 3 4" xfId="20502" xr:uid="{00000000-0005-0000-0000-00006A3C0000}"/>
    <cellStyle name="40% - Accent3 4 4 4" xfId="6352" xr:uid="{00000000-0005-0000-0000-00006B3C0000}"/>
    <cellStyle name="40% - Accent3 4 4 4 2" xfId="14327" xr:uid="{00000000-0005-0000-0000-00006C3C0000}"/>
    <cellStyle name="40% - Accent3 4 4 4 3" xfId="22274" xr:uid="{00000000-0005-0000-0000-00006D3C0000}"/>
    <cellStyle name="40% - Accent3 4 4 5" xfId="9895" xr:uid="{00000000-0005-0000-0000-00006E3C0000}"/>
    <cellStyle name="40% - Accent3 4 4 5 2" xfId="17853" xr:uid="{00000000-0005-0000-0000-00006F3C0000}"/>
    <cellStyle name="40% - Accent3 4 4 5 3" xfId="25797" xr:uid="{00000000-0005-0000-0000-0000703C0000}"/>
    <cellStyle name="40% - Accent3 4 4 6" xfId="10791" xr:uid="{00000000-0005-0000-0000-0000713C0000}"/>
    <cellStyle name="40% - Accent3 4 4 7" xfId="18746" xr:uid="{00000000-0005-0000-0000-0000723C0000}"/>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3" xfId="24526" xr:uid="{00000000-0005-0000-0000-0000783C0000}"/>
    <cellStyle name="40% - Accent3 4 5 2 3" xfId="13042" xr:uid="{00000000-0005-0000-0000-0000793C0000}"/>
    <cellStyle name="40% - Accent3 4 5 2 4" xfId="20997" xr:uid="{00000000-0005-0000-0000-00007A3C0000}"/>
    <cellStyle name="40% - Accent3 4 5 3" xfId="6850" xr:uid="{00000000-0005-0000-0000-00007B3C0000}"/>
    <cellStyle name="40% - Accent3 4 5 3 2" xfId="14822" xr:uid="{00000000-0005-0000-0000-00007C3C0000}"/>
    <cellStyle name="40% - Accent3 4 5 3 3" xfId="22769" xr:uid="{00000000-0005-0000-0000-00007D3C0000}"/>
    <cellStyle name="40% - Accent3 4 5 4" xfId="11286" xr:uid="{00000000-0005-0000-0000-00007E3C0000}"/>
    <cellStyle name="40% - Accent3 4 5 5" xfId="19241" xr:uid="{00000000-0005-0000-0000-00007F3C0000}"/>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3" xfId="23648" xr:uid="{00000000-0005-0000-0000-0000843C0000}"/>
    <cellStyle name="40% - Accent3 4 6 3" xfId="12164" xr:uid="{00000000-0005-0000-0000-0000853C0000}"/>
    <cellStyle name="40% - Accent3 4 6 4" xfId="20119" xr:uid="{00000000-0005-0000-0000-0000863C0000}"/>
    <cellStyle name="40% - Accent3 4 7" xfId="5959" xr:uid="{00000000-0005-0000-0000-0000873C0000}"/>
    <cellStyle name="40% - Accent3 4 7 2" xfId="13943" xr:uid="{00000000-0005-0000-0000-0000883C0000}"/>
    <cellStyle name="40% - Accent3 4 7 3" xfId="21891" xr:uid="{00000000-0005-0000-0000-0000893C0000}"/>
    <cellStyle name="40% - Accent3 4 8" xfId="9512" xr:uid="{00000000-0005-0000-0000-00008A3C0000}"/>
    <cellStyle name="40% - Accent3 4 8 2" xfId="17470" xr:uid="{00000000-0005-0000-0000-00008B3C0000}"/>
    <cellStyle name="40% - Accent3 4 8 3" xfId="25414" xr:uid="{00000000-0005-0000-0000-00008C3C0000}"/>
    <cellStyle name="40% - Accent3 4 9" xfId="10408" xr:uid="{00000000-0005-0000-0000-00008D3C0000}"/>
    <cellStyle name="40% - Accent3 4_Exh G" xfId="2997" xr:uid="{00000000-0005-0000-0000-00008E3C0000}"/>
    <cellStyle name="40% - Accent3 5" xfId="464" xr:uid="{00000000-0005-0000-0000-00008F3C0000}"/>
    <cellStyle name="40% - Accent3 5 10" xfId="18367" xr:uid="{00000000-0005-0000-0000-0000903C0000}"/>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3" xfId="24532" xr:uid="{00000000-0005-0000-0000-0000973C0000}"/>
    <cellStyle name="40% - Accent3 5 2 2 2 2 3" xfId="13048" xr:uid="{00000000-0005-0000-0000-0000983C0000}"/>
    <cellStyle name="40% - Accent3 5 2 2 2 2 4" xfId="21003" xr:uid="{00000000-0005-0000-0000-0000993C0000}"/>
    <cellStyle name="40% - Accent3 5 2 2 2 3" xfId="6856" xr:uid="{00000000-0005-0000-0000-00009A3C0000}"/>
    <cellStyle name="40% - Accent3 5 2 2 2 3 2" xfId="14828" xr:uid="{00000000-0005-0000-0000-00009B3C0000}"/>
    <cellStyle name="40% - Accent3 5 2 2 2 3 3" xfId="22775" xr:uid="{00000000-0005-0000-0000-00009C3C0000}"/>
    <cellStyle name="40% - Accent3 5 2 2 2 4" xfId="11292" xr:uid="{00000000-0005-0000-0000-00009D3C0000}"/>
    <cellStyle name="40% - Accent3 5 2 2 2 5" xfId="19247" xr:uid="{00000000-0005-0000-0000-00009E3C0000}"/>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3" xfId="23654" xr:uid="{00000000-0005-0000-0000-0000A33C0000}"/>
    <cellStyle name="40% - Accent3 5 2 2 3 3" xfId="12170" xr:uid="{00000000-0005-0000-0000-0000A43C0000}"/>
    <cellStyle name="40% - Accent3 5 2 2 3 4" xfId="20125" xr:uid="{00000000-0005-0000-0000-0000A53C0000}"/>
    <cellStyle name="40% - Accent3 5 2 2 4" xfId="5965" xr:uid="{00000000-0005-0000-0000-0000A63C0000}"/>
    <cellStyle name="40% - Accent3 5 2 2 4 2" xfId="13949" xr:uid="{00000000-0005-0000-0000-0000A73C0000}"/>
    <cellStyle name="40% - Accent3 5 2 2 4 3" xfId="21897" xr:uid="{00000000-0005-0000-0000-0000A83C0000}"/>
    <cellStyle name="40% - Accent3 5 2 2 5" xfId="9518" xr:uid="{00000000-0005-0000-0000-0000A93C0000}"/>
    <cellStyle name="40% - Accent3 5 2 2 5 2" xfId="17476" xr:uid="{00000000-0005-0000-0000-0000AA3C0000}"/>
    <cellStyle name="40% - Accent3 5 2 2 5 3" xfId="25420" xr:uid="{00000000-0005-0000-0000-0000AB3C0000}"/>
    <cellStyle name="40% - Accent3 5 2 2 6" xfId="10414" xr:uid="{00000000-0005-0000-0000-0000AC3C0000}"/>
    <cellStyle name="40% - Accent3 5 2 2 7" xfId="18369" xr:uid="{00000000-0005-0000-0000-0000AD3C0000}"/>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3" xfId="24531" xr:uid="{00000000-0005-0000-0000-0000B33C0000}"/>
    <cellStyle name="40% - Accent3 5 2 3 2 3" xfId="13047" xr:uid="{00000000-0005-0000-0000-0000B43C0000}"/>
    <cellStyle name="40% - Accent3 5 2 3 2 4" xfId="21002" xr:uid="{00000000-0005-0000-0000-0000B53C0000}"/>
    <cellStyle name="40% - Accent3 5 2 3 3" xfId="6855" xr:uid="{00000000-0005-0000-0000-0000B63C0000}"/>
    <cellStyle name="40% - Accent3 5 2 3 3 2" xfId="14827" xr:uid="{00000000-0005-0000-0000-0000B73C0000}"/>
    <cellStyle name="40% - Accent3 5 2 3 3 3" xfId="22774" xr:uid="{00000000-0005-0000-0000-0000B83C0000}"/>
    <cellStyle name="40% - Accent3 5 2 3 4" xfId="11291" xr:uid="{00000000-0005-0000-0000-0000B93C0000}"/>
    <cellStyle name="40% - Accent3 5 2 3 5" xfId="19246" xr:uid="{00000000-0005-0000-0000-0000BA3C0000}"/>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3" xfId="23653" xr:uid="{00000000-0005-0000-0000-0000BF3C0000}"/>
    <cellStyle name="40% - Accent3 5 2 4 3" xfId="12169" xr:uid="{00000000-0005-0000-0000-0000C03C0000}"/>
    <cellStyle name="40% - Accent3 5 2 4 4" xfId="20124" xr:uid="{00000000-0005-0000-0000-0000C13C0000}"/>
    <cellStyle name="40% - Accent3 5 2 5" xfId="5964" xr:uid="{00000000-0005-0000-0000-0000C23C0000}"/>
    <cellStyle name="40% - Accent3 5 2 5 2" xfId="13948" xr:uid="{00000000-0005-0000-0000-0000C33C0000}"/>
    <cellStyle name="40% - Accent3 5 2 5 3" xfId="21896" xr:uid="{00000000-0005-0000-0000-0000C43C0000}"/>
    <cellStyle name="40% - Accent3 5 2 6" xfId="9517" xr:uid="{00000000-0005-0000-0000-0000C53C0000}"/>
    <cellStyle name="40% - Accent3 5 2 6 2" xfId="17475" xr:uid="{00000000-0005-0000-0000-0000C63C0000}"/>
    <cellStyle name="40% - Accent3 5 2 6 3" xfId="25419" xr:uid="{00000000-0005-0000-0000-0000C73C0000}"/>
    <cellStyle name="40% - Accent3 5 2 7" xfId="10413" xr:uid="{00000000-0005-0000-0000-0000C83C0000}"/>
    <cellStyle name="40% - Accent3 5 2 8" xfId="18368" xr:uid="{00000000-0005-0000-0000-0000C93C0000}"/>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3" xfId="24533" xr:uid="{00000000-0005-0000-0000-0000D03C0000}"/>
    <cellStyle name="40% - Accent3 5 3 2 2 3" xfId="13049" xr:uid="{00000000-0005-0000-0000-0000D13C0000}"/>
    <cellStyle name="40% - Accent3 5 3 2 2 4" xfId="21004" xr:uid="{00000000-0005-0000-0000-0000D23C0000}"/>
    <cellStyle name="40% - Accent3 5 3 2 3" xfId="6857" xr:uid="{00000000-0005-0000-0000-0000D33C0000}"/>
    <cellStyle name="40% - Accent3 5 3 2 3 2" xfId="14829" xr:uid="{00000000-0005-0000-0000-0000D43C0000}"/>
    <cellStyle name="40% - Accent3 5 3 2 3 3" xfId="22776" xr:uid="{00000000-0005-0000-0000-0000D53C0000}"/>
    <cellStyle name="40% - Accent3 5 3 2 4" xfId="11293" xr:uid="{00000000-0005-0000-0000-0000D63C0000}"/>
    <cellStyle name="40% - Accent3 5 3 2 5" xfId="19248" xr:uid="{00000000-0005-0000-0000-0000D73C000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3" xfId="23655" xr:uid="{00000000-0005-0000-0000-0000DC3C0000}"/>
    <cellStyle name="40% - Accent3 5 3 3 3" xfId="12171" xr:uid="{00000000-0005-0000-0000-0000DD3C0000}"/>
    <cellStyle name="40% - Accent3 5 3 3 4" xfId="20126" xr:uid="{00000000-0005-0000-0000-0000DE3C0000}"/>
    <cellStyle name="40% - Accent3 5 3 4" xfId="5966" xr:uid="{00000000-0005-0000-0000-0000DF3C0000}"/>
    <cellStyle name="40% - Accent3 5 3 4 2" xfId="13950" xr:uid="{00000000-0005-0000-0000-0000E03C0000}"/>
    <cellStyle name="40% - Accent3 5 3 4 3" xfId="21898" xr:uid="{00000000-0005-0000-0000-0000E13C0000}"/>
    <cellStyle name="40% - Accent3 5 3 5" xfId="9519" xr:uid="{00000000-0005-0000-0000-0000E23C0000}"/>
    <cellStyle name="40% - Accent3 5 3 5 2" xfId="17477" xr:uid="{00000000-0005-0000-0000-0000E33C0000}"/>
    <cellStyle name="40% - Accent3 5 3 5 3" xfId="25421" xr:uid="{00000000-0005-0000-0000-0000E43C0000}"/>
    <cellStyle name="40% - Accent3 5 3 6" xfId="10415" xr:uid="{00000000-0005-0000-0000-0000E53C0000}"/>
    <cellStyle name="40% - Accent3 5 3 7" xfId="18370" xr:uid="{00000000-0005-0000-0000-0000E63C0000}"/>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3" xfId="24530" xr:uid="{00000000-0005-0000-0000-0000ED3C0000}"/>
    <cellStyle name="40% - Accent3 5 5 2 3" xfId="13046" xr:uid="{00000000-0005-0000-0000-0000EE3C0000}"/>
    <cellStyle name="40% - Accent3 5 5 2 4" xfId="21001" xr:uid="{00000000-0005-0000-0000-0000EF3C0000}"/>
    <cellStyle name="40% - Accent3 5 5 3" xfId="6854" xr:uid="{00000000-0005-0000-0000-0000F03C0000}"/>
    <cellStyle name="40% - Accent3 5 5 3 2" xfId="14826" xr:uid="{00000000-0005-0000-0000-0000F13C0000}"/>
    <cellStyle name="40% - Accent3 5 5 3 3" xfId="22773" xr:uid="{00000000-0005-0000-0000-0000F23C0000}"/>
    <cellStyle name="40% - Accent3 5 5 4" xfId="11290" xr:uid="{00000000-0005-0000-0000-0000F33C0000}"/>
    <cellStyle name="40% - Accent3 5 5 5" xfId="19245" xr:uid="{00000000-0005-0000-0000-0000F43C0000}"/>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3" xfId="23652" xr:uid="{00000000-0005-0000-0000-0000F93C0000}"/>
    <cellStyle name="40% - Accent3 5 6 3" xfId="12168" xr:uid="{00000000-0005-0000-0000-0000FA3C0000}"/>
    <cellStyle name="40% - Accent3 5 6 4" xfId="20123" xr:uid="{00000000-0005-0000-0000-0000FB3C0000}"/>
    <cellStyle name="40% - Accent3 5 7" xfId="5963" xr:uid="{00000000-0005-0000-0000-0000FC3C0000}"/>
    <cellStyle name="40% - Accent3 5 7 2" xfId="13947" xr:uid="{00000000-0005-0000-0000-0000FD3C0000}"/>
    <cellStyle name="40% - Accent3 5 7 3" xfId="21895" xr:uid="{00000000-0005-0000-0000-0000FE3C0000}"/>
    <cellStyle name="40% - Accent3 5 8" xfId="9516" xr:uid="{00000000-0005-0000-0000-0000FF3C0000}"/>
    <cellStyle name="40% - Accent3 5 8 2" xfId="17474" xr:uid="{00000000-0005-0000-0000-0000003D0000}"/>
    <cellStyle name="40% - Accent3 5 8 3" xfId="25418" xr:uid="{00000000-0005-0000-0000-0000013D0000}"/>
    <cellStyle name="40% - Accent3 5 9" xfId="10412" xr:uid="{00000000-0005-0000-0000-0000023D0000}"/>
    <cellStyle name="40% - Accent3 5_Exh G" xfId="3009" xr:uid="{00000000-0005-0000-0000-0000033D0000}"/>
    <cellStyle name="40% - Accent3 6" xfId="468" xr:uid="{00000000-0005-0000-0000-0000043D0000}"/>
    <cellStyle name="40% - Accent3 6 10" xfId="18371" xr:uid="{00000000-0005-0000-0000-0000053D0000}"/>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3" xfId="24536" xr:uid="{00000000-0005-0000-0000-00000C3D0000}"/>
    <cellStyle name="40% - Accent3 6 2 2 2 2 3" xfId="13052" xr:uid="{00000000-0005-0000-0000-00000D3D0000}"/>
    <cellStyle name="40% - Accent3 6 2 2 2 2 4" xfId="21007" xr:uid="{00000000-0005-0000-0000-00000E3D0000}"/>
    <cellStyle name="40% - Accent3 6 2 2 2 3" xfId="6860" xr:uid="{00000000-0005-0000-0000-00000F3D0000}"/>
    <cellStyle name="40% - Accent3 6 2 2 2 3 2" xfId="14832" xr:uid="{00000000-0005-0000-0000-0000103D0000}"/>
    <cellStyle name="40% - Accent3 6 2 2 2 3 3" xfId="22779" xr:uid="{00000000-0005-0000-0000-0000113D0000}"/>
    <cellStyle name="40% - Accent3 6 2 2 2 4" xfId="11296" xr:uid="{00000000-0005-0000-0000-0000123D0000}"/>
    <cellStyle name="40% - Accent3 6 2 2 2 5" xfId="19251" xr:uid="{00000000-0005-0000-0000-0000133D0000}"/>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3" xfId="23658" xr:uid="{00000000-0005-0000-0000-0000183D0000}"/>
    <cellStyle name="40% - Accent3 6 2 2 3 3" xfId="12174" xr:uid="{00000000-0005-0000-0000-0000193D0000}"/>
    <cellStyle name="40% - Accent3 6 2 2 3 4" xfId="20129" xr:uid="{00000000-0005-0000-0000-00001A3D0000}"/>
    <cellStyle name="40% - Accent3 6 2 2 4" xfId="5969" xr:uid="{00000000-0005-0000-0000-00001B3D0000}"/>
    <cellStyle name="40% - Accent3 6 2 2 4 2" xfId="13953" xr:uid="{00000000-0005-0000-0000-00001C3D0000}"/>
    <cellStyle name="40% - Accent3 6 2 2 4 3" xfId="21901" xr:uid="{00000000-0005-0000-0000-00001D3D0000}"/>
    <cellStyle name="40% - Accent3 6 2 2 5" xfId="9522" xr:uid="{00000000-0005-0000-0000-00001E3D0000}"/>
    <cellStyle name="40% - Accent3 6 2 2 5 2" xfId="17480" xr:uid="{00000000-0005-0000-0000-00001F3D0000}"/>
    <cellStyle name="40% - Accent3 6 2 2 5 3" xfId="25424" xr:uid="{00000000-0005-0000-0000-0000203D0000}"/>
    <cellStyle name="40% - Accent3 6 2 2 6" xfId="10418" xr:uid="{00000000-0005-0000-0000-0000213D0000}"/>
    <cellStyle name="40% - Accent3 6 2 2 7" xfId="18373" xr:uid="{00000000-0005-0000-0000-0000223D0000}"/>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3" xfId="24535" xr:uid="{00000000-0005-0000-0000-0000283D0000}"/>
    <cellStyle name="40% - Accent3 6 2 3 2 3" xfId="13051" xr:uid="{00000000-0005-0000-0000-0000293D0000}"/>
    <cellStyle name="40% - Accent3 6 2 3 2 4" xfId="21006" xr:uid="{00000000-0005-0000-0000-00002A3D0000}"/>
    <cellStyle name="40% - Accent3 6 2 3 3" xfId="6859" xr:uid="{00000000-0005-0000-0000-00002B3D0000}"/>
    <cellStyle name="40% - Accent3 6 2 3 3 2" xfId="14831" xr:uid="{00000000-0005-0000-0000-00002C3D0000}"/>
    <cellStyle name="40% - Accent3 6 2 3 3 3" xfId="22778" xr:uid="{00000000-0005-0000-0000-00002D3D0000}"/>
    <cellStyle name="40% - Accent3 6 2 3 4" xfId="11295" xr:uid="{00000000-0005-0000-0000-00002E3D0000}"/>
    <cellStyle name="40% - Accent3 6 2 3 5" xfId="19250" xr:uid="{00000000-0005-0000-0000-00002F3D0000}"/>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3" xfId="23657" xr:uid="{00000000-0005-0000-0000-0000343D0000}"/>
    <cellStyle name="40% - Accent3 6 2 4 3" xfId="12173" xr:uid="{00000000-0005-0000-0000-0000353D0000}"/>
    <cellStyle name="40% - Accent3 6 2 4 4" xfId="20128" xr:uid="{00000000-0005-0000-0000-0000363D0000}"/>
    <cellStyle name="40% - Accent3 6 2 5" xfId="5968" xr:uid="{00000000-0005-0000-0000-0000373D0000}"/>
    <cellStyle name="40% - Accent3 6 2 5 2" xfId="13952" xr:uid="{00000000-0005-0000-0000-0000383D0000}"/>
    <cellStyle name="40% - Accent3 6 2 5 3" xfId="21900" xr:uid="{00000000-0005-0000-0000-0000393D0000}"/>
    <cellStyle name="40% - Accent3 6 2 6" xfId="9521" xr:uid="{00000000-0005-0000-0000-00003A3D0000}"/>
    <cellStyle name="40% - Accent3 6 2 6 2" xfId="17479" xr:uid="{00000000-0005-0000-0000-00003B3D0000}"/>
    <cellStyle name="40% - Accent3 6 2 6 3" xfId="25423" xr:uid="{00000000-0005-0000-0000-00003C3D0000}"/>
    <cellStyle name="40% - Accent3 6 2 7" xfId="10417" xr:uid="{00000000-0005-0000-0000-00003D3D0000}"/>
    <cellStyle name="40% - Accent3 6 2 8" xfId="18372" xr:uid="{00000000-0005-0000-0000-00003E3D0000}"/>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3" xfId="24537" xr:uid="{00000000-0005-0000-0000-0000453D0000}"/>
    <cellStyle name="40% - Accent3 6 3 2 2 3" xfId="13053" xr:uid="{00000000-0005-0000-0000-0000463D0000}"/>
    <cellStyle name="40% - Accent3 6 3 2 2 4" xfId="21008" xr:uid="{00000000-0005-0000-0000-0000473D0000}"/>
    <cellStyle name="40% - Accent3 6 3 2 3" xfId="6861" xr:uid="{00000000-0005-0000-0000-0000483D0000}"/>
    <cellStyle name="40% - Accent3 6 3 2 3 2" xfId="14833" xr:uid="{00000000-0005-0000-0000-0000493D0000}"/>
    <cellStyle name="40% - Accent3 6 3 2 3 3" xfId="22780" xr:uid="{00000000-0005-0000-0000-00004A3D0000}"/>
    <cellStyle name="40% - Accent3 6 3 2 4" xfId="11297" xr:uid="{00000000-0005-0000-0000-00004B3D0000}"/>
    <cellStyle name="40% - Accent3 6 3 2 5" xfId="19252" xr:uid="{00000000-0005-0000-0000-00004C3D000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3" xfId="23659" xr:uid="{00000000-0005-0000-0000-0000513D0000}"/>
    <cellStyle name="40% - Accent3 6 3 3 3" xfId="12175" xr:uid="{00000000-0005-0000-0000-0000523D0000}"/>
    <cellStyle name="40% - Accent3 6 3 3 4" xfId="20130" xr:uid="{00000000-0005-0000-0000-0000533D0000}"/>
    <cellStyle name="40% - Accent3 6 3 4" xfId="5970" xr:uid="{00000000-0005-0000-0000-0000543D0000}"/>
    <cellStyle name="40% - Accent3 6 3 4 2" xfId="13954" xr:uid="{00000000-0005-0000-0000-0000553D0000}"/>
    <cellStyle name="40% - Accent3 6 3 4 3" xfId="21902" xr:uid="{00000000-0005-0000-0000-0000563D0000}"/>
    <cellStyle name="40% - Accent3 6 3 5" xfId="9523" xr:uid="{00000000-0005-0000-0000-0000573D0000}"/>
    <cellStyle name="40% - Accent3 6 3 5 2" xfId="17481" xr:uid="{00000000-0005-0000-0000-0000583D0000}"/>
    <cellStyle name="40% - Accent3 6 3 5 3" xfId="25425" xr:uid="{00000000-0005-0000-0000-0000593D0000}"/>
    <cellStyle name="40% - Accent3 6 3 6" xfId="10419" xr:uid="{00000000-0005-0000-0000-00005A3D0000}"/>
    <cellStyle name="40% - Accent3 6 3 7" xfId="18374" xr:uid="{00000000-0005-0000-0000-00005B3D0000}"/>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3" xfId="24911" xr:uid="{00000000-0005-0000-0000-0000623D0000}"/>
    <cellStyle name="40% - Accent3 6 4 2 2 3" xfId="13427" xr:uid="{00000000-0005-0000-0000-0000633D0000}"/>
    <cellStyle name="40% - Accent3 6 4 2 2 4" xfId="21382" xr:uid="{00000000-0005-0000-0000-0000643D0000}"/>
    <cellStyle name="40% - Accent3 6 4 2 3" xfId="7235" xr:uid="{00000000-0005-0000-0000-0000653D0000}"/>
    <cellStyle name="40% - Accent3 6 4 2 3 2" xfId="15207" xr:uid="{00000000-0005-0000-0000-0000663D0000}"/>
    <cellStyle name="40% - Accent3 6 4 2 3 3" xfId="23154" xr:uid="{00000000-0005-0000-0000-0000673D0000}"/>
    <cellStyle name="40% - Accent3 6 4 2 4" xfId="11671" xr:uid="{00000000-0005-0000-0000-0000683D0000}"/>
    <cellStyle name="40% - Accent3 6 4 2 5" xfId="19626" xr:uid="{00000000-0005-0000-0000-0000693D0000}"/>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3" xfId="24033" xr:uid="{00000000-0005-0000-0000-00006E3D0000}"/>
    <cellStyle name="40% - Accent3 6 4 3 3" xfId="12549" xr:uid="{00000000-0005-0000-0000-00006F3D0000}"/>
    <cellStyle name="40% - Accent3 6 4 3 4" xfId="20504" xr:uid="{00000000-0005-0000-0000-0000703D0000}"/>
    <cellStyle name="40% - Accent3 6 4 4" xfId="6354" xr:uid="{00000000-0005-0000-0000-0000713D0000}"/>
    <cellStyle name="40% - Accent3 6 4 4 2" xfId="14329" xr:uid="{00000000-0005-0000-0000-0000723D0000}"/>
    <cellStyle name="40% - Accent3 6 4 4 3" xfId="22276" xr:uid="{00000000-0005-0000-0000-0000733D0000}"/>
    <cellStyle name="40% - Accent3 6 4 5" xfId="9897" xr:uid="{00000000-0005-0000-0000-0000743D0000}"/>
    <cellStyle name="40% - Accent3 6 4 5 2" xfId="17855" xr:uid="{00000000-0005-0000-0000-0000753D0000}"/>
    <cellStyle name="40% - Accent3 6 4 5 3" xfId="25799" xr:uid="{00000000-0005-0000-0000-0000763D0000}"/>
    <cellStyle name="40% - Accent3 6 4 6" xfId="10793" xr:uid="{00000000-0005-0000-0000-0000773D0000}"/>
    <cellStyle name="40% - Accent3 6 4 7" xfId="18748" xr:uid="{00000000-0005-0000-0000-0000783D0000}"/>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3" xfId="24534" xr:uid="{00000000-0005-0000-0000-00007E3D0000}"/>
    <cellStyle name="40% - Accent3 6 5 2 3" xfId="13050" xr:uid="{00000000-0005-0000-0000-00007F3D0000}"/>
    <cellStyle name="40% - Accent3 6 5 2 4" xfId="21005" xr:uid="{00000000-0005-0000-0000-0000803D0000}"/>
    <cellStyle name="40% - Accent3 6 5 3" xfId="6858" xr:uid="{00000000-0005-0000-0000-0000813D0000}"/>
    <cellStyle name="40% - Accent3 6 5 3 2" xfId="14830" xr:uid="{00000000-0005-0000-0000-0000823D0000}"/>
    <cellStyle name="40% - Accent3 6 5 3 3" xfId="22777" xr:uid="{00000000-0005-0000-0000-0000833D0000}"/>
    <cellStyle name="40% - Accent3 6 5 4" xfId="11294" xr:uid="{00000000-0005-0000-0000-0000843D0000}"/>
    <cellStyle name="40% - Accent3 6 5 5" xfId="19249" xr:uid="{00000000-0005-0000-0000-0000853D0000}"/>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3" xfId="23656" xr:uid="{00000000-0005-0000-0000-00008A3D0000}"/>
    <cellStyle name="40% - Accent3 6 6 3" xfId="12172" xr:uid="{00000000-0005-0000-0000-00008B3D0000}"/>
    <cellStyle name="40% - Accent3 6 6 4" xfId="20127" xr:uid="{00000000-0005-0000-0000-00008C3D0000}"/>
    <cellStyle name="40% - Accent3 6 7" xfId="5967" xr:uid="{00000000-0005-0000-0000-00008D3D0000}"/>
    <cellStyle name="40% - Accent3 6 7 2" xfId="13951" xr:uid="{00000000-0005-0000-0000-00008E3D0000}"/>
    <cellStyle name="40% - Accent3 6 7 3" xfId="21899" xr:uid="{00000000-0005-0000-0000-00008F3D0000}"/>
    <cellStyle name="40% - Accent3 6 8" xfId="9520" xr:uid="{00000000-0005-0000-0000-0000903D0000}"/>
    <cellStyle name="40% - Accent3 6 8 2" xfId="17478" xr:uid="{00000000-0005-0000-0000-0000913D0000}"/>
    <cellStyle name="40% - Accent3 6 8 3" xfId="25422" xr:uid="{00000000-0005-0000-0000-0000923D0000}"/>
    <cellStyle name="40% - Accent3 6 9" xfId="10416" xr:uid="{00000000-0005-0000-0000-0000933D0000}"/>
    <cellStyle name="40% - Accent3 6_Exh G" xfId="3017" xr:uid="{00000000-0005-0000-0000-0000943D0000}"/>
    <cellStyle name="40% - Accent3 7" xfId="472" xr:uid="{00000000-0005-0000-0000-0000953D0000}"/>
    <cellStyle name="40% - Accent3 7 10" xfId="18375" xr:uid="{00000000-0005-0000-0000-0000963D0000}"/>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3" xfId="24540" xr:uid="{00000000-0005-0000-0000-00009D3D0000}"/>
    <cellStyle name="40% - Accent3 7 2 2 2 2 3" xfId="13056" xr:uid="{00000000-0005-0000-0000-00009E3D0000}"/>
    <cellStyle name="40% - Accent3 7 2 2 2 2 4" xfId="21011" xr:uid="{00000000-0005-0000-0000-00009F3D0000}"/>
    <cellStyle name="40% - Accent3 7 2 2 2 3" xfId="6864" xr:uid="{00000000-0005-0000-0000-0000A03D0000}"/>
    <cellStyle name="40% - Accent3 7 2 2 2 3 2" xfId="14836" xr:uid="{00000000-0005-0000-0000-0000A13D0000}"/>
    <cellStyle name="40% - Accent3 7 2 2 2 3 3" xfId="22783" xr:uid="{00000000-0005-0000-0000-0000A23D0000}"/>
    <cellStyle name="40% - Accent3 7 2 2 2 4" xfId="11300" xr:uid="{00000000-0005-0000-0000-0000A33D0000}"/>
    <cellStyle name="40% - Accent3 7 2 2 2 5" xfId="19255" xr:uid="{00000000-0005-0000-0000-0000A43D000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3" xfId="23662" xr:uid="{00000000-0005-0000-0000-0000A93D0000}"/>
    <cellStyle name="40% - Accent3 7 2 2 3 3" xfId="12178" xr:uid="{00000000-0005-0000-0000-0000AA3D0000}"/>
    <cellStyle name="40% - Accent3 7 2 2 3 4" xfId="20133" xr:uid="{00000000-0005-0000-0000-0000AB3D0000}"/>
    <cellStyle name="40% - Accent3 7 2 2 4" xfId="5973" xr:uid="{00000000-0005-0000-0000-0000AC3D0000}"/>
    <cellStyle name="40% - Accent3 7 2 2 4 2" xfId="13957" xr:uid="{00000000-0005-0000-0000-0000AD3D0000}"/>
    <cellStyle name="40% - Accent3 7 2 2 4 3" xfId="21905" xr:uid="{00000000-0005-0000-0000-0000AE3D0000}"/>
    <cellStyle name="40% - Accent3 7 2 2 5" xfId="9526" xr:uid="{00000000-0005-0000-0000-0000AF3D0000}"/>
    <cellStyle name="40% - Accent3 7 2 2 5 2" xfId="17484" xr:uid="{00000000-0005-0000-0000-0000B03D0000}"/>
    <cellStyle name="40% - Accent3 7 2 2 5 3" xfId="25428" xr:uid="{00000000-0005-0000-0000-0000B13D0000}"/>
    <cellStyle name="40% - Accent3 7 2 2 6" xfId="10422" xr:uid="{00000000-0005-0000-0000-0000B23D0000}"/>
    <cellStyle name="40% - Accent3 7 2 2 7" xfId="18377" xr:uid="{00000000-0005-0000-0000-0000B33D0000}"/>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3" xfId="24539" xr:uid="{00000000-0005-0000-0000-0000B93D0000}"/>
    <cellStyle name="40% - Accent3 7 2 3 2 3" xfId="13055" xr:uid="{00000000-0005-0000-0000-0000BA3D0000}"/>
    <cellStyle name="40% - Accent3 7 2 3 2 4" xfId="21010" xr:uid="{00000000-0005-0000-0000-0000BB3D0000}"/>
    <cellStyle name="40% - Accent3 7 2 3 3" xfId="6863" xr:uid="{00000000-0005-0000-0000-0000BC3D0000}"/>
    <cellStyle name="40% - Accent3 7 2 3 3 2" xfId="14835" xr:uid="{00000000-0005-0000-0000-0000BD3D0000}"/>
    <cellStyle name="40% - Accent3 7 2 3 3 3" xfId="22782" xr:uid="{00000000-0005-0000-0000-0000BE3D0000}"/>
    <cellStyle name="40% - Accent3 7 2 3 4" xfId="11299" xr:uid="{00000000-0005-0000-0000-0000BF3D0000}"/>
    <cellStyle name="40% - Accent3 7 2 3 5" xfId="19254" xr:uid="{00000000-0005-0000-0000-0000C03D0000}"/>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3" xfId="23661" xr:uid="{00000000-0005-0000-0000-0000C53D0000}"/>
    <cellStyle name="40% - Accent3 7 2 4 3" xfId="12177" xr:uid="{00000000-0005-0000-0000-0000C63D0000}"/>
    <cellStyle name="40% - Accent3 7 2 4 4" xfId="20132" xr:uid="{00000000-0005-0000-0000-0000C73D0000}"/>
    <cellStyle name="40% - Accent3 7 2 5" xfId="5972" xr:uid="{00000000-0005-0000-0000-0000C83D0000}"/>
    <cellStyle name="40% - Accent3 7 2 5 2" xfId="13956" xr:uid="{00000000-0005-0000-0000-0000C93D0000}"/>
    <cellStyle name="40% - Accent3 7 2 5 3" xfId="21904" xr:uid="{00000000-0005-0000-0000-0000CA3D0000}"/>
    <cellStyle name="40% - Accent3 7 2 6" xfId="9525" xr:uid="{00000000-0005-0000-0000-0000CB3D0000}"/>
    <cellStyle name="40% - Accent3 7 2 6 2" xfId="17483" xr:uid="{00000000-0005-0000-0000-0000CC3D0000}"/>
    <cellStyle name="40% - Accent3 7 2 6 3" xfId="25427" xr:uid="{00000000-0005-0000-0000-0000CD3D0000}"/>
    <cellStyle name="40% - Accent3 7 2 7" xfId="10421" xr:uid="{00000000-0005-0000-0000-0000CE3D0000}"/>
    <cellStyle name="40% - Accent3 7 2 8" xfId="18376" xr:uid="{00000000-0005-0000-0000-0000CF3D0000}"/>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3" xfId="24541" xr:uid="{00000000-0005-0000-0000-0000D63D0000}"/>
    <cellStyle name="40% - Accent3 7 3 2 2 3" xfId="13057" xr:uid="{00000000-0005-0000-0000-0000D73D0000}"/>
    <cellStyle name="40% - Accent3 7 3 2 2 4" xfId="21012" xr:uid="{00000000-0005-0000-0000-0000D83D0000}"/>
    <cellStyle name="40% - Accent3 7 3 2 3" xfId="6865" xr:uid="{00000000-0005-0000-0000-0000D93D0000}"/>
    <cellStyle name="40% - Accent3 7 3 2 3 2" xfId="14837" xr:uid="{00000000-0005-0000-0000-0000DA3D0000}"/>
    <cellStyle name="40% - Accent3 7 3 2 3 3" xfId="22784" xr:uid="{00000000-0005-0000-0000-0000DB3D0000}"/>
    <cellStyle name="40% - Accent3 7 3 2 4" xfId="11301" xr:uid="{00000000-0005-0000-0000-0000DC3D0000}"/>
    <cellStyle name="40% - Accent3 7 3 2 5" xfId="19256" xr:uid="{00000000-0005-0000-0000-0000DD3D0000}"/>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3" xfId="23663" xr:uid="{00000000-0005-0000-0000-0000E23D0000}"/>
    <cellStyle name="40% - Accent3 7 3 3 3" xfId="12179" xr:uid="{00000000-0005-0000-0000-0000E33D0000}"/>
    <cellStyle name="40% - Accent3 7 3 3 4" xfId="20134" xr:uid="{00000000-0005-0000-0000-0000E43D0000}"/>
    <cellStyle name="40% - Accent3 7 3 4" xfId="5974" xr:uid="{00000000-0005-0000-0000-0000E53D0000}"/>
    <cellStyle name="40% - Accent3 7 3 4 2" xfId="13958" xr:uid="{00000000-0005-0000-0000-0000E63D0000}"/>
    <cellStyle name="40% - Accent3 7 3 4 3" xfId="21906" xr:uid="{00000000-0005-0000-0000-0000E73D0000}"/>
    <cellStyle name="40% - Accent3 7 3 5" xfId="9527" xr:uid="{00000000-0005-0000-0000-0000E83D0000}"/>
    <cellStyle name="40% - Accent3 7 3 5 2" xfId="17485" xr:uid="{00000000-0005-0000-0000-0000E93D0000}"/>
    <cellStyle name="40% - Accent3 7 3 5 3" xfId="25429" xr:uid="{00000000-0005-0000-0000-0000EA3D0000}"/>
    <cellStyle name="40% - Accent3 7 3 6" xfId="10423" xr:uid="{00000000-0005-0000-0000-0000EB3D0000}"/>
    <cellStyle name="40% - Accent3 7 3 7" xfId="18378" xr:uid="{00000000-0005-0000-0000-0000EC3D0000}"/>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3" xfId="24912" xr:uid="{00000000-0005-0000-0000-0000F33D0000}"/>
    <cellStyle name="40% - Accent3 7 4 2 2 3" xfId="13428" xr:uid="{00000000-0005-0000-0000-0000F43D0000}"/>
    <cellStyle name="40% - Accent3 7 4 2 2 4" xfId="21383" xr:uid="{00000000-0005-0000-0000-0000F53D0000}"/>
    <cellStyle name="40% - Accent3 7 4 2 3" xfId="7236" xr:uid="{00000000-0005-0000-0000-0000F63D0000}"/>
    <cellStyle name="40% - Accent3 7 4 2 3 2" xfId="15208" xr:uid="{00000000-0005-0000-0000-0000F73D0000}"/>
    <cellStyle name="40% - Accent3 7 4 2 3 3" xfId="23155" xr:uid="{00000000-0005-0000-0000-0000F83D0000}"/>
    <cellStyle name="40% - Accent3 7 4 2 4" xfId="11672" xr:uid="{00000000-0005-0000-0000-0000F93D0000}"/>
    <cellStyle name="40% - Accent3 7 4 2 5" xfId="19627" xr:uid="{00000000-0005-0000-0000-0000FA3D0000}"/>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3" xfId="24034" xr:uid="{00000000-0005-0000-0000-0000FF3D0000}"/>
    <cellStyle name="40% - Accent3 7 4 3 3" xfId="12550" xr:uid="{00000000-0005-0000-0000-0000003E0000}"/>
    <cellStyle name="40% - Accent3 7 4 3 4" xfId="20505" xr:uid="{00000000-0005-0000-0000-0000013E0000}"/>
    <cellStyle name="40% - Accent3 7 4 4" xfId="6355" xr:uid="{00000000-0005-0000-0000-0000023E0000}"/>
    <cellStyle name="40% - Accent3 7 4 4 2" xfId="14330" xr:uid="{00000000-0005-0000-0000-0000033E0000}"/>
    <cellStyle name="40% - Accent3 7 4 4 3" xfId="22277" xr:uid="{00000000-0005-0000-0000-0000043E0000}"/>
    <cellStyle name="40% - Accent3 7 4 5" xfId="9898" xr:uid="{00000000-0005-0000-0000-0000053E0000}"/>
    <cellStyle name="40% - Accent3 7 4 5 2" xfId="17856" xr:uid="{00000000-0005-0000-0000-0000063E0000}"/>
    <cellStyle name="40% - Accent3 7 4 5 3" xfId="25800" xr:uid="{00000000-0005-0000-0000-0000073E0000}"/>
    <cellStyle name="40% - Accent3 7 4 6" xfId="10794" xr:uid="{00000000-0005-0000-0000-0000083E0000}"/>
    <cellStyle name="40% - Accent3 7 4 7" xfId="18749" xr:uid="{00000000-0005-0000-0000-0000093E0000}"/>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3" xfId="24538" xr:uid="{00000000-0005-0000-0000-00000F3E0000}"/>
    <cellStyle name="40% - Accent3 7 5 2 3" xfId="13054" xr:uid="{00000000-0005-0000-0000-0000103E0000}"/>
    <cellStyle name="40% - Accent3 7 5 2 4" xfId="21009" xr:uid="{00000000-0005-0000-0000-0000113E0000}"/>
    <cellStyle name="40% - Accent3 7 5 3" xfId="6862" xr:uid="{00000000-0005-0000-0000-0000123E0000}"/>
    <cellStyle name="40% - Accent3 7 5 3 2" xfId="14834" xr:uid="{00000000-0005-0000-0000-0000133E0000}"/>
    <cellStyle name="40% - Accent3 7 5 3 3" xfId="22781" xr:uid="{00000000-0005-0000-0000-0000143E0000}"/>
    <cellStyle name="40% - Accent3 7 5 4" xfId="11298" xr:uid="{00000000-0005-0000-0000-0000153E0000}"/>
    <cellStyle name="40% - Accent3 7 5 5" xfId="19253" xr:uid="{00000000-0005-0000-0000-0000163E0000}"/>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3" xfId="23660" xr:uid="{00000000-0005-0000-0000-00001B3E0000}"/>
    <cellStyle name="40% - Accent3 7 6 3" xfId="12176" xr:uid="{00000000-0005-0000-0000-00001C3E0000}"/>
    <cellStyle name="40% - Accent3 7 6 4" xfId="20131" xr:uid="{00000000-0005-0000-0000-00001D3E0000}"/>
    <cellStyle name="40% - Accent3 7 7" xfId="5971" xr:uid="{00000000-0005-0000-0000-00001E3E0000}"/>
    <cellStyle name="40% - Accent3 7 7 2" xfId="13955" xr:uid="{00000000-0005-0000-0000-00001F3E0000}"/>
    <cellStyle name="40% - Accent3 7 7 3" xfId="21903" xr:uid="{00000000-0005-0000-0000-0000203E0000}"/>
    <cellStyle name="40% - Accent3 7 8" xfId="9524" xr:uid="{00000000-0005-0000-0000-0000213E0000}"/>
    <cellStyle name="40% - Accent3 7 8 2" xfId="17482" xr:uid="{00000000-0005-0000-0000-0000223E0000}"/>
    <cellStyle name="40% - Accent3 7 8 3" xfId="25426" xr:uid="{00000000-0005-0000-0000-0000233E0000}"/>
    <cellStyle name="40% - Accent3 7 9" xfId="10420" xr:uid="{00000000-0005-0000-0000-0000243E0000}"/>
    <cellStyle name="40% - Accent3 7_Exh G" xfId="3027" xr:uid="{00000000-0005-0000-0000-0000253E0000}"/>
    <cellStyle name="40% - Accent3 8" xfId="476" xr:uid="{00000000-0005-0000-0000-0000263E0000}"/>
    <cellStyle name="40% - Accent3 8 10" xfId="18379" xr:uid="{00000000-0005-0000-0000-0000273E0000}"/>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3" xfId="24544" xr:uid="{00000000-0005-0000-0000-00002E3E0000}"/>
    <cellStyle name="40% - Accent3 8 2 2 2 2 3" xfId="13060" xr:uid="{00000000-0005-0000-0000-00002F3E0000}"/>
    <cellStyle name="40% - Accent3 8 2 2 2 2 4" xfId="21015" xr:uid="{00000000-0005-0000-0000-0000303E0000}"/>
    <cellStyle name="40% - Accent3 8 2 2 2 3" xfId="6868" xr:uid="{00000000-0005-0000-0000-0000313E0000}"/>
    <cellStyle name="40% - Accent3 8 2 2 2 3 2" xfId="14840" xr:uid="{00000000-0005-0000-0000-0000323E0000}"/>
    <cellStyle name="40% - Accent3 8 2 2 2 3 3" xfId="22787" xr:uid="{00000000-0005-0000-0000-0000333E0000}"/>
    <cellStyle name="40% - Accent3 8 2 2 2 4" xfId="11304" xr:uid="{00000000-0005-0000-0000-0000343E0000}"/>
    <cellStyle name="40% - Accent3 8 2 2 2 5" xfId="19259" xr:uid="{00000000-0005-0000-0000-0000353E000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3" xfId="23666" xr:uid="{00000000-0005-0000-0000-00003A3E0000}"/>
    <cellStyle name="40% - Accent3 8 2 2 3 3" xfId="12182" xr:uid="{00000000-0005-0000-0000-00003B3E0000}"/>
    <cellStyle name="40% - Accent3 8 2 2 3 4" xfId="20137" xr:uid="{00000000-0005-0000-0000-00003C3E0000}"/>
    <cellStyle name="40% - Accent3 8 2 2 4" xfId="5977" xr:uid="{00000000-0005-0000-0000-00003D3E0000}"/>
    <cellStyle name="40% - Accent3 8 2 2 4 2" xfId="13961" xr:uid="{00000000-0005-0000-0000-00003E3E0000}"/>
    <cellStyle name="40% - Accent3 8 2 2 4 3" xfId="21909" xr:uid="{00000000-0005-0000-0000-00003F3E0000}"/>
    <cellStyle name="40% - Accent3 8 2 2 5" xfId="9530" xr:uid="{00000000-0005-0000-0000-0000403E0000}"/>
    <cellStyle name="40% - Accent3 8 2 2 5 2" xfId="17488" xr:uid="{00000000-0005-0000-0000-0000413E0000}"/>
    <cellStyle name="40% - Accent3 8 2 2 5 3" xfId="25432" xr:uid="{00000000-0005-0000-0000-0000423E0000}"/>
    <cellStyle name="40% - Accent3 8 2 2 6" xfId="10426" xr:uid="{00000000-0005-0000-0000-0000433E0000}"/>
    <cellStyle name="40% - Accent3 8 2 2 7" xfId="18381" xr:uid="{00000000-0005-0000-0000-0000443E0000}"/>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3" xfId="24543" xr:uid="{00000000-0005-0000-0000-00004A3E0000}"/>
    <cellStyle name="40% - Accent3 8 2 3 2 3" xfId="13059" xr:uid="{00000000-0005-0000-0000-00004B3E0000}"/>
    <cellStyle name="40% - Accent3 8 2 3 2 4" xfId="21014" xr:uid="{00000000-0005-0000-0000-00004C3E0000}"/>
    <cellStyle name="40% - Accent3 8 2 3 3" xfId="6867" xr:uid="{00000000-0005-0000-0000-00004D3E0000}"/>
    <cellStyle name="40% - Accent3 8 2 3 3 2" xfId="14839" xr:uid="{00000000-0005-0000-0000-00004E3E0000}"/>
    <cellStyle name="40% - Accent3 8 2 3 3 3" xfId="22786" xr:uid="{00000000-0005-0000-0000-00004F3E0000}"/>
    <cellStyle name="40% - Accent3 8 2 3 4" xfId="11303" xr:uid="{00000000-0005-0000-0000-0000503E0000}"/>
    <cellStyle name="40% - Accent3 8 2 3 5" xfId="19258" xr:uid="{00000000-0005-0000-0000-0000513E0000}"/>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3" xfId="23665" xr:uid="{00000000-0005-0000-0000-0000563E0000}"/>
    <cellStyle name="40% - Accent3 8 2 4 3" xfId="12181" xr:uid="{00000000-0005-0000-0000-0000573E0000}"/>
    <cellStyle name="40% - Accent3 8 2 4 4" xfId="20136" xr:uid="{00000000-0005-0000-0000-0000583E0000}"/>
    <cellStyle name="40% - Accent3 8 2 5" xfId="5976" xr:uid="{00000000-0005-0000-0000-0000593E0000}"/>
    <cellStyle name="40% - Accent3 8 2 5 2" xfId="13960" xr:uid="{00000000-0005-0000-0000-00005A3E0000}"/>
    <cellStyle name="40% - Accent3 8 2 5 3" xfId="21908" xr:uid="{00000000-0005-0000-0000-00005B3E0000}"/>
    <cellStyle name="40% - Accent3 8 2 6" xfId="9529" xr:uid="{00000000-0005-0000-0000-00005C3E0000}"/>
    <cellStyle name="40% - Accent3 8 2 6 2" xfId="17487" xr:uid="{00000000-0005-0000-0000-00005D3E0000}"/>
    <cellStyle name="40% - Accent3 8 2 6 3" xfId="25431" xr:uid="{00000000-0005-0000-0000-00005E3E0000}"/>
    <cellStyle name="40% - Accent3 8 2 7" xfId="10425" xr:uid="{00000000-0005-0000-0000-00005F3E0000}"/>
    <cellStyle name="40% - Accent3 8 2 8" xfId="18380" xr:uid="{00000000-0005-0000-0000-0000603E0000}"/>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3" xfId="24545" xr:uid="{00000000-0005-0000-0000-0000673E0000}"/>
    <cellStyle name="40% - Accent3 8 3 2 2 3" xfId="13061" xr:uid="{00000000-0005-0000-0000-0000683E0000}"/>
    <cellStyle name="40% - Accent3 8 3 2 2 4" xfId="21016" xr:uid="{00000000-0005-0000-0000-0000693E0000}"/>
    <cellStyle name="40% - Accent3 8 3 2 3" xfId="6869" xr:uid="{00000000-0005-0000-0000-00006A3E0000}"/>
    <cellStyle name="40% - Accent3 8 3 2 3 2" xfId="14841" xr:uid="{00000000-0005-0000-0000-00006B3E0000}"/>
    <cellStyle name="40% - Accent3 8 3 2 3 3" xfId="22788" xr:uid="{00000000-0005-0000-0000-00006C3E0000}"/>
    <cellStyle name="40% - Accent3 8 3 2 4" xfId="11305" xr:uid="{00000000-0005-0000-0000-00006D3E0000}"/>
    <cellStyle name="40% - Accent3 8 3 2 5" xfId="19260" xr:uid="{00000000-0005-0000-0000-00006E3E0000}"/>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3" xfId="23667" xr:uid="{00000000-0005-0000-0000-0000733E0000}"/>
    <cellStyle name="40% - Accent3 8 3 3 3" xfId="12183" xr:uid="{00000000-0005-0000-0000-0000743E0000}"/>
    <cellStyle name="40% - Accent3 8 3 3 4" xfId="20138" xr:uid="{00000000-0005-0000-0000-0000753E0000}"/>
    <cellStyle name="40% - Accent3 8 3 4" xfId="5978" xr:uid="{00000000-0005-0000-0000-0000763E0000}"/>
    <cellStyle name="40% - Accent3 8 3 4 2" xfId="13962" xr:uid="{00000000-0005-0000-0000-0000773E0000}"/>
    <cellStyle name="40% - Accent3 8 3 4 3" xfId="21910" xr:uid="{00000000-0005-0000-0000-0000783E0000}"/>
    <cellStyle name="40% - Accent3 8 3 5" xfId="9531" xr:uid="{00000000-0005-0000-0000-0000793E0000}"/>
    <cellStyle name="40% - Accent3 8 3 5 2" xfId="17489" xr:uid="{00000000-0005-0000-0000-00007A3E0000}"/>
    <cellStyle name="40% - Accent3 8 3 5 3" xfId="25433" xr:uid="{00000000-0005-0000-0000-00007B3E0000}"/>
    <cellStyle name="40% - Accent3 8 3 6" xfId="10427" xr:uid="{00000000-0005-0000-0000-00007C3E0000}"/>
    <cellStyle name="40% - Accent3 8 3 7" xfId="18382" xr:uid="{00000000-0005-0000-0000-00007D3E0000}"/>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3" xfId="24913" xr:uid="{00000000-0005-0000-0000-0000843E0000}"/>
    <cellStyle name="40% - Accent3 8 4 2 2 3" xfId="13429" xr:uid="{00000000-0005-0000-0000-0000853E0000}"/>
    <cellStyle name="40% - Accent3 8 4 2 2 4" xfId="21384" xr:uid="{00000000-0005-0000-0000-0000863E0000}"/>
    <cellStyle name="40% - Accent3 8 4 2 3" xfId="7237" xr:uid="{00000000-0005-0000-0000-0000873E0000}"/>
    <cellStyle name="40% - Accent3 8 4 2 3 2" xfId="15209" xr:uid="{00000000-0005-0000-0000-0000883E0000}"/>
    <cellStyle name="40% - Accent3 8 4 2 3 3" xfId="23156" xr:uid="{00000000-0005-0000-0000-0000893E0000}"/>
    <cellStyle name="40% - Accent3 8 4 2 4" xfId="11673" xr:uid="{00000000-0005-0000-0000-00008A3E0000}"/>
    <cellStyle name="40% - Accent3 8 4 2 5" xfId="19628" xr:uid="{00000000-0005-0000-0000-00008B3E0000}"/>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3" xfId="24035" xr:uid="{00000000-0005-0000-0000-0000903E0000}"/>
    <cellStyle name="40% - Accent3 8 4 3 3" xfId="12551" xr:uid="{00000000-0005-0000-0000-0000913E0000}"/>
    <cellStyle name="40% - Accent3 8 4 3 4" xfId="20506" xr:uid="{00000000-0005-0000-0000-0000923E0000}"/>
    <cellStyle name="40% - Accent3 8 4 4" xfId="6356" xr:uid="{00000000-0005-0000-0000-0000933E0000}"/>
    <cellStyle name="40% - Accent3 8 4 4 2" xfId="14331" xr:uid="{00000000-0005-0000-0000-0000943E0000}"/>
    <cellStyle name="40% - Accent3 8 4 4 3" xfId="22278" xr:uid="{00000000-0005-0000-0000-0000953E0000}"/>
    <cellStyle name="40% - Accent3 8 4 5" xfId="9899" xr:uid="{00000000-0005-0000-0000-0000963E0000}"/>
    <cellStyle name="40% - Accent3 8 4 5 2" xfId="17857" xr:uid="{00000000-0005-0000-0000-0000973E0000}"/>
    <cellStyle name="40% - Accent3 8 4 5 3" xfId="25801" xr:uid="{00000000-0005-0000-0000-0000983E0000}"/>
    <cellStyle name="40% - Accent3 8 4 6" xfId="10795" xr:uid="{00000000-0005-0000-0000-0000993E0000}"/>
    <cellStyle name="40% - Accent3 8 4 7" xfId="18750" xr:uid="{00000000-0005-0000-0000-00009A3E0000}"/>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3" xfId="24542" xr:uid="{00000000-0005-0000-0000-0000A03E0000}"/>
    <cellStyle name="40% - Accent3 8 5 2 3" xfId="13058" xr:uid="{00000000-0005-0000-0000-0000A13E0000}"/>
    <cellStyle name="40% - Accent3 8 5 2 4" xfId="21013" xr:uid="{00000000-0005-0000-0000-0000A23E0000}"/>
    <cellStyle name="40% - Accent3 8 5 3" xfId="6866" xr:uid="{00000000-0005-0000-0000-0000A33E0000}"/>
    <cellStyle name="40% - Accent3 8 5 3 2" xfId="14838" xr:uid="{00000000-0005-0000-0000-0000A43E0000}"/>
    <cellStyle name="40% - Accent3 8 5 3 3" xfId="22785" xr:uid="{00000000-0005-0000-0000-0000A53E0000}"/>
    <cellStyle name="40% - Accent3 8 5 4" xfId="11302" xr:uid="{00000000-0005-0000-0000-0000A63E0000}"/>
    <cellStyle name="40% - Accent3 8 5 5" xfId="19257" xr:uid="{00000000-0005-0000-0000-0000A73E0000}"/>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3" xfId="23664" xr:uid="{00000000-0005-0000-0000-0000AC3E0000}"/>
    <cellStyle name="40% - Accent3 8 6 3" xfId="12180" xr:uid="{00000000-0005-0000-0000-0000AD3E0000}"/>
    <cellStyle name="40% - Accent3 8 6 4" xfId="20135" xr:uid="{00000000-0005-0000-0000-0000AE3E0000}"/>
    <cellStyle name="40% - Accent3 8 7" xfId="5975" xr:uid="{00000000-0005-0000-0000-0000AF3E0000}"/>
    <cellStyle name="40% - Accent3 8 7 2" xfId="13959" xr:uid="{00000000-0005-0000-0000-0000B03E0000}"/>
    <cellStyle name="40% - Accent3 8 7 3" xfId="21907" xr:uid="{00000000-0005-0000-0000-0000B13E0000}"/>
    <cellStyle name="40% - Accent3 8 8" xfId="9528" xr:uid="{00000000-0005-0000-0000-0000B23E0000}"/>
    <cellStyle name="40% - Accent3 8 8 2" xfId="17486" xr:uid="{00000000-0005-0000-0000-0000B33E0000}"/>
    <cellStyle name="40% - Accent3 8 8 3" xfId="25430" xr:uid="{00000000-0005-0000-0000-0000B43E0000}"/>
    <cellStyle name="40% - Accent3 8 9" xfId="10424" xr:uid="{00000000-0005-0000-0000-0000B53E0000}"/>
    <cellStyle name="40% - Accent3 8_Exh G" xfId="3037" xr:uid="{00000000-0005-0000-0000-0000B63E0000}"/>
    <cellStyle name="40% - Accent3 9" xfId="480" xr:uid="{00000000-0005-0000-0000-0000B73E0000}"/>
    <cellStyle name="40% - Accent3 9 10" xfId="18383" xr:uid="{00000000-0005-0000-0000-0000B83E0000}"/>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3" xfId="24548" xr:uid="{00000000-0005-0000-0000-0000BF3E0000}"/>
    <cellStyle name="40% - Accent3 9 2 2 2 2 3" xfId="13064" xr:uid="{00000000-0005-0000-0000-0000C03E0000}"/>
    <cellStyle name="40% - Accent3 9 2 2 2 2 4" xfId="21019" xr:uid="{00000000-0005-0000-0000-0000C13E0000}"/>
    <cellStyle name="40% - Accent3 9 2 2 2 3" xfId="6872" xr:uid="{00000000-0005-0000-0000-0000C23E0000}"/>
    <cellStyle name="40% - Accent3 9 2 2 2 3 2" xfId="14844" xr:uid="{00000000-0005-0000-0000-0000C33E0000}"/>
    <cellStyle name="40% - Accent3 9 2 2 2 3 3" xfId="22791" xr:uid="{00000000-0005-0000-0000-0000C43E0000}"/>
    <cellStyle name="40% - Accent3 9 2 2 2 4" xfId="11308" xr:uid="{00000000-0005-0000-0000-0000C53E0000}"/>
    <cellStyle name="40% - Accent3 9 2 2 2 5" xfId="19263" xr:uid="{00000000-0005-0000-0000-0000C63E0000}"/>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3" xfId="23670" xr:uid="{00000000-0005-0000-0000-0000CB3E0000}"/>
    <cellStyle name="40% - Accent3 9 2 2 3 3" xfId="12186" xr:uid="{00000000-0005-0000-0000-0000CC3E0000}"/>
    <cellStyle name="40% - Accent3 9 2 2 3 4" xfId="20141" xr:uid="{00000000-0005-0000-0000-0000CD3E0000}"/>
    <cellStyle name="40% - Accent3 9 2 2 4" xfId="5981" xr:uid="{00000000-0005-0000-0000-0000CE3E0000}"/>
    <cellStyle name="40% - Accent3 9 2 2 4 2" xfId="13965" xr:uid="{00000000-0005-0000-0000-0000CF3E0000}"/>
    <cellStyle name="40% - Accent3 9 2 2 4 3" xfId="21913" xr:uid="{00000000-0005-0000-0000-0000D03E0000}"/>
    <cellStyle name="40% - Accent3 9 2 2 5" xfId="9534" xr:uid="{00000000-0005-0000-0000-0000D13E0000}"/>
    <cellStyle name="40% - Accent3 9 2 2 5 2" xfId="17492" xr:uid="{00000000-0005-0000-0000-0000D23E0000}"/>
    <cellStyle name="40% - Accent3 9 2 2 5 3" xfId="25436" xr:uid="{00000000-0005-0000-0000-0000D33E0000}"/>
    <cellStyle name="40% - Accent3 9 2 2 6" xfId="10430" xr:uid="{00000000-0005-0000-0000-0000D43E0000}"/>
    <cellStyle name="40% - Accent3 9 2 2 7" xfId="18385" xr:uid="{00000000-0005-0000-0000-0000D53E0000}"/>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3" xfId="24547" xr:uid="{00000000-0005-0000-0000-0000DB3E0000}"/>
    <cellStyle name="40% - Accent3 9 2 3 2 3" xfId="13063" xr:uid="{00000000-0005-0000-0000-0000DC3E0000}"/>
    <cellStyle name="40% - Accent3 9 2 3 2 4" xfId="21018" xr:uid="{00000000-0005-0000-0000-0000DD3E0000}"/>
    <cellStyle name="40% - Accent3 9 2 3 3" xfId="6871" xr:uid="{00000000-0005-0000-0000-0000DE3E0000}"/>
    <cellStyle name="40% - Accent3 9 2 3 3 2" xfId="14843" xr:uid="{00000000-0005-0000-0000-0000DF3E0000}"/>
    <cellStyle name="40% - Accent3 9 2 3 3 3" xfId="22790" xr:uid="{00000000-0005-0000-0000-0000E03E0000}"/>
    <cellStyle name="40% - Accent3 9 2 3 4" xfId="11307" xr:uid="{00000000-0005-0000-0000-0000E13E0000}"/>
    <cellStyle name="40% - Accent3 9 2 3 5" xfId="19262" xr:uid="{00000000-0005-0000-0000-0000E23E0000}"/>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3" xfId="23669" xr:uid="{00000000-0005-0000-0000-0000E73E0000}"/>
    <cellStyle name="40% - Accent3 9 2 4 3" xfId="12185" xr:uid="{00000000-0005-0000-0000-0000E83E0000}"/>
    <cellStyle name="40% - Accent3 9 2 4 4" xfId="20140" xr:uid="{00000000-0005-0000-0000-0000E93E0000}"/>
    <cellStyle name="40% - Accent3 9 2 5" xfId="5980" xr:uid="{00000000-0005-0000-0000-0000EA3E0000}"/>
    <cellStyle name="40% - Accent3 9 2 5 2" xfId="13964" xr:uid="{00000000-0005-0000-0000-0000EB3E0000}"/>
    <cellStyle name="40% - Accent3 9 2 5 3" xfId="21912" xr:uid="{00000000-0005-0000-0000-0000EC3E0000}"/>
    <cellStyle name="40% - Accent3 9 2 6" xfId="9533" xr:uid="{00000000-0005-0000-0000-0000ED3E0000}"/>
    <cellStyle name="40% - Accent3 9 2 6 2" xfId="17491" xr:uid="{00000000-0005-0000-0000-0000EE3E0000}"/>
    <cellStyle name="40% - Accent3 9 2 6 3" xfId="25435" xr:uid="{00000000-0005-0000-0000-0000EF3E0000}"/>
    <cellStyle name="40% - Accent3 9 2 7" xfId="10429" xr:uid="{00000000-0005-0000-0000-0000F03E0000}"/>
    <cellStyle name="40% - Accent3 9 2 8" xfId="18384" xr:uid="{00000000-0005-0000-0000-0000F13E0000}"/>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3" xfId="24549" xr:uid="{00000000-0005-0000-0000-0000F83E0000}"/>
    <cellStyle name="40% - Accent3 9 3 2 2 3" xfId="13065" xr:uid="{00000000-0005-0000-0000-0000F93E0000}"/>
    <cellStyle name="40% - Accent3 9 3 2 2 4" xfId="21020" xr:uid="{00000000-0005-0000-0000-0000FA3E0000}"/>
    <cellStyle name="40% - Accent3 9 3 2 3" xfId="6873" xr:uid="{00000000-0005-0000-0000-0000FB3E0000}"/>
    <cellStyle name="40% - Accent3 9 3 2 3 2" xfId="14845" xr:uid="{00000000-0005-0000-0000-0000FC3E0000}"/>
    <cellStyle name="40% - Accent3 9 3 2 3 3" xfId="22792" xr:uid="{00000000-0005-0000-0000-0000FD3E0000}"/>
    <cellStyle name="40% - Accent3 9 3 2 4" xfId="11309" xr:uid="{00000000-0005-0000-0000-0000FE3E0000}"/>
    <cellStyle name="40% - Accent3 9 3 2 5" xfId="19264" xr:uid="{00000000-0005-0000-0000-0000FF3E0000}"/>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3" xfId="23671" xr:uid="{00000000-0005-0000-0000-0000043F0000}"/>
    <cellStyle name="40% - Accent3 9 3 3 3" xfId="12187" xr:uid="{00000000-0005-0000-0000-0000053F0000}"/>
    <cellStyle name="40% - Accent3 9 3 3 4" xfId="20142" xr:uid="{00000000-0005-0000-0000-0000063F0000}"/>
    <cellStyle name="40% - Accent3 9 3 4" xfId="5982" xr:uid="{00000000-0005-0000-0000-0000073F0000}"/>
    <cellStyle name="40% - Accent3 9 3 4 2" xfId="13966" xr:uid="{00000000-0005-0000-0000-0000083F0000}"/>
    <cellStyle name="40% - Accent3 9 3 4 3" xfId="21914" xr:uid="{00000000-0005-0000-0000-0000093F0000}"/>
    <cellStyle name="40% - Accent3 9 3 5" xfId="9535" xr:uid="{00000000-0005-0000-0000-00000A3F0000}"/>
    <cellStyle name="40% - Accent3 9 3 5 2" xfId="17493" xr:uid="{00000000-0005-0000-0000-00000B3F0000}"/>
    <cellStyle name="40% - Accent3 9 3 5 3" xfId="25437" xr:uid="{00000000-0005-0000-0000-00000C3F0000}"/>
    <cellStyle name="40% - Accent3 9 3 6" xfId="10431" xr:uid="{00000000-0005-0000-0000-00000D3F0000}"/>
    <cellStyle name="40% - Accent3 9 3 7" xfId="18386" xr:uid="{00000000-0005-0000-0000-00000E3F0000}"/>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3" xfId="24914" xr:uid="{00000000-0005-0000-0000-0000153F0000}"/>
    <cellStyle name="40% - Accent3 9 4 2 2 3" xfId="13430" xr:uid="{00000000-0005-0000-0000-0000163F0000}"/>
    <cellStyle name="40% - Accent3 9 4 2 2 4" xfId="21385" xr:uid="{00000000-0005-0000-0000-0000173F0000}"/>
    <cellStyle name="40% - Accent3 9 4 2 3" xfId="7238" xr:uid="{00000000-0005-0000-0000-0000183F0000}"/>
    <cellStyle name="40% - Accent3 9 4 2 3 2" xfId="15210" xr:uid="{00000000-0005-0000-0000-0000193F0000}"/>
    <cellStyle name="40% - Accent3 9 4 2 3 3" xfId="23157" xr:uid="{00000000-0005-0000-0000-00001A3F0000}"/>
    <cellStyle name="40% - Accent3 9 4 2 4" xfId="11674" xr:uid="{00000000-0005-0000-0000-00001B3F0000}"/>
    <cellStyle name="40% - Accent3 9 4 2 5" xfId="19629" xr:uid="{00000000-0005-0000-0000-00001C3F0000}"/>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3" xfId="24036" xr:uid="{00000000-0005-0000-0000-0000213F0000}"/>
    <cellStyle name="40% - Accent3 9 4 3 3" xfId="12552" xr:uid="{00000000-0005-0000-0000-0000223F0000}"/>
    <cellStyle name="40% - Accent3 9 4 3 4" xfId="20507" xr:uid="{00000000-0005-0000-0000-0000233F0000}"/>
    <cellStyle name="40% - Accent3 9 4 4" xfId="6357" xr:uid="{00000000-0005-0000-0000-0000243F0000}"/>
    <cellStyle name="40% - Accent3 9 4 4 2" xfId="14332" xr:uid="{00000000-0005-0000-0000-0000253F0000}"/>
    <cellStyle name="40% - Accent3 9 4 4 3" xfId="22279" xr:uid="{00000000-0005-0000-0000-0000263F0000}"/>
    <cellStyle name="40% - Accent3 9 4 5" xfId="9900" xr:uid="{00000000-0005-0000-0000-0000273F0000}"/>
    <cellStyle name="40% - Accent3 9 4 5 2" xfId="17858" xr:uid="{00000000-0005-0000-0000-0000283F0000}"/>
    <cellStyle name="40% - Accent3 9 4 5 3" xfId="25802" xr:uid="{00000000-0005-0000-0000-0000293F0000}"/>
    <cellStyle name="40% - Accent3 9 4 6" xfId="10796" xr:uid="{00000000-0005-0000-0000-00002A3F0000}"/>
    <cellStyle name="40% - Accent3 9 4 7" xfId="18751" xr:uid="{00000000-0005-0000-0000-00002B3F0000}"/>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3" xfId="24546" xr:uid="{00000000-0005-0000-0000-0000313F0000}"/>
    <cellStyle name="40% - Accent3 9 5 2 3" xfId="13062" xr:uid="{00000000-0005-0000-0000-0000323F0000}"/>
    <cellStyle name="40% - Accent3 9 5 2 4" xfId="21017" xr:uid="{00000000-0005-0000-0000-0000333F0000}"/>
    <cellStyle name="40% - Accent3 9 5 3" xfId="6870" xr:uid="{00000000-0005-0000-0000-0000343F0000}"/>
    <cellStyle name="40% - Accent3 9 5 3 2" xfId="14842" xr:uid="{00000000-0005-0000-0000-0000353F0000}"/>
    <cellStyle name="40% - Accent3 9 5 3 3" xfId="22789" xr:uid="{00000000-0005-0000-0000-0000363F0000}"/>
    <cellStyle name="40% - Accent3 9 5 4" xfId="11306" xr:uid="{00000000-0005-0000-0000-0000373F0000}"/>
    <cellStyle name="40% - Accent3 9 5 5" xfId="19261" xr:uid="{00000000-0005-0000-0000-0000383F0000}"/>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3" xfId="23668" xr:uid="{00000000-0005-0000-0000-00003D3F0000}"/>
    <cellStyle name="40% - Accent3 9 6 3" xfId="12184" xr:uid="{00000000-0005-0000-0000-00003E3F0000}"/>
    <cellStyle name="40% - Accent3 9 6 4" xfId="20139" xr:uid="{00000000-0005-0000-0000-00003F3F0000}"/>
    <cellStyle name="40% - Accent3 9 7" xfId="5979" xr:uid="{00000000-0005-0000-0000-0000403F0000}"/>
    <cellStyle name="40% - Accent3 9 7 2" xfId="13963" xr:uid="{00000000-0005-0000-0000-0000413F0000}"/>
    <cellStyle name="40% - Accent3 9 7 3" xfId="21911" xr:uid="{00000000-0005-0000-0000-0000423F0000}"/>
    <cellStyle name="40% - Accent3 9 8" xfId="9532" xr:uid="{00000000-0005-0000-0000-0000433F0000}"/>
    <cellStyle name="40% - Accent3 9 8 2" xfId="17490" xr:uid="{00000000-0005-0000-0000-0000443F0000}"/>
    <cellStyle name="40% - Accent3 9 8 3" xfId="25434" xr:uid="{00000000-0005-0000-0000-0000453F0000}"/>
    <cellStyle name="40% - Accent3 9 9" xfId="10428" xr:uid="{00000000-0005-0000-0000-0000463F0000}"/>
    <cellStyle name="40% - Accent3 9_Exh G" xfId="3047" xr:uid="{00000000-0005-0000-0000-0000473F0000}"/>
    <cellStyle name="40% - Accent4 10" xfId="484" xr:uid="{00000000-0005-0000-0000-0000483F0000}"/>
    <cellStyle name="40% - Accent4 10 10" xfId="18387" xr:uid="{00000000-0005-0000-0000-0000493F0000}"/>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3" xfId="24552" xr:uid="{00000000-0005-0000-0000-0000503F0000}"/>
    <cellStyle name="40% - Accent4 10 2 2 2 2 3" xfId="13068" xr:uid="{00000000-0005-0000-0000-0000513F0000}"/>
    <cellStyle name="40% - Accent4 10 2 2 2 2 4" xfId="21023" xr:uid="{00000000-0005-0000-0000-0000523F0000}"/>
    <cellStyle name="40% - Accent4 10 2 2 2 3" xfId="6876" xr:uid="{00000000-0005-0000-0000-0000533F0000}"/>
    <cellStyle name="40% - Accent4 10 2 2 2 3 2" xfId="14848" xr:uid="{00000000-0005-0000-0000-0000543F0000}"/>
    <cellStyle name="40% - Accent4 10 2 2 2 3 3" xfId="22795" xr:uid="{00000000-0005-0000-0000-0000553F0000}"/>
    <cellStyle name="40% - Accent4 10 2 2 2 4" xfId="11312" xr:uid="{00000000-0005-0000-0000-0000563F0000}"/>
    <cellStyle name="40% - Accent4 10 2 2 2 5" xfId="19267" xr:uid="{00000000-0005-0000-0000-0000573F0000}"/>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3" xfId="23674" xr:uid="{00000000-0005-0000-0000-00005C3F0000}"/>
    <cellStyle name="40% - Accent4 10 2 2 3 3" xfId="12190" xr:uid="{00000000-0005-0000-0000-00005D3F0000}"/>
    <cellStyle name="40% - Accent4 10 2 2 3 4" xfId="20145" xr:uid="{00000000-0005-0000-0000-00005E3F0000}"/>
    <cellStyle name="40% - Accent4 10 2 2 4" xfId="5985" xr:uid="{00000000-0005-0000-0000-00005F3F0000}"/>
    <cellStyle name="40% - Accent4 10 2 2 4 2" xfId="13969" xr:uid="{00000000-0005-0000-0000-0000603F0000}"/>
    <cellStyle name="40% - Accent4 10 2 2 4 3" xfId="21917" xr:uid="{00000000-0005-0000-0000-0000613F0000}"/>
    <cellStyle name="40% - Accent4 10 2 2 5" xfId="9538" xr:uid="{00000000-0005-0000-0000-0000623F0000}"/>
    <cellStyle name="40% - Accent4 10 2 2 5 2" xfId="17496" xr:uid="{00000000-0005-0000-0000-0000633F0000}"/>
    <cellStyle name="40% - Accent4 10 2 2 5 3" xfId="25440" xr:uid="{00000000-0005-0000-0000-0000643F0000}"/>
    <cellStyle name="40% - Accent4 10 2 2 6" xfId="10434" xr:uid="{00000000-0005-0000-0000-0000653F0000}"/>
    <cellStyle name="40% - Accent4 10 2 2 7" xfId="18389" xr:uid="{00000000-0005-0000-0000-0000663F0000}"/>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3" xfId="24551" xr:uid="{00000000-0005-0000-0000-00006C3F0000}"/>
    <cellStyle name="40% - Accent4 10 2 3 2 3" xfId="13067" xr:uid="{00000000-0005-0000-0000-00006D3F0000}"/>
    <cellStyle name="40% - Accent4 10 2 3 2 4" xfId="21022" xr:uid="{00000000-0005-0000-0000-00006E3F0000}"/>
    <cellStyle name="40% - Accent4 10 2 3 3" xfId="6875" xr:uid="{00000000-0005-0000-0000-00006F3F0000}"/>
    <cellStyle name="40% - Accent4 10 2 3 3 2" xfId="14847" xr:uid="{00000000-0005-0000-0000-0000703F0000}"/>
    <cellStyle name="40% - Accent4 10 2 3 3 3" xfId="22794" xr:uid="{00000000-0005-0000-0000-0000713F0000}"/>
    <cellStyle name="40% - Accent4 10 2 3 4" xfId="11311" xr:uid="{00000000-0005-0000-0000-0000723F0000}"/>
    <cellStyle name="40% - Accent4 10 2 3 5" xfId="19266" xr:uid="{00000000-0005-0000-0000-0000733F0000}"/>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3" xfId="23673" xr:uid="{00000000-0005-0000-0000-0000783F0000}"/>
    <cellStyle name="40% - Accent4 10 2 4 3" xfId="12189" xr:uid="{00000000-0005-0000-0000-0000793F0000}"/>
    <cellStyle name="40% - Accent4 10 2 4 4" xfId="20144" xr:uid="{00000000-0005-0000-0000-00007A3F0000}"/>
    <cellStyle name="40% - Accent4 10 2 5" xfId="5984" xr:uid="{00000000-0005-0000-0000-00007B3F0000}"/>
    <cellStyle name="40% - Accent4 10 2 5 2" xfId="13968" xr:uid="{00000000-0005-0000-0000-00007C3F0000}"/>
    <cellStyle name="40% - Accent4 10 2 5 3" xfId="21916" xr:uid="{00000000-0005-0000-0000-00007D3F0000}"/>
    <cellStyle name="40% - Accent4 10 2 6" xfId="9537" xr:uid="{00000000-0005-0000-0000-00007E3F0000}"/>
    <cellStyle name="40% - Accent4 10 2 6 2" xfId="17495" xr:uid="{00000000-0005-0000-0000-00007F3F0000}"/>
    <cellStyle name="40% - Accent4 10 2 6 3" xfId="25439" xr:uid="{00000000-0005-0000-0000-0000803F0000}"/>
    <cellStyle name="40% - Accent4 10 2 7" xfId="10433" xr:uid="{00000000-0005-0000-0000-0000813F0000}"/>
    <cellStyle name="40% - Accent4 10 2 8" xfId="18388" xr:uid="{00000000-0005-0000-0000-0000823F0000}"/>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3" xfId="24553" xr:uid="{00000000-0005-0000-0000-0000893F0000}"/>
    <cellStyle name="40% - Accent4 10 3 2 2 3" xfId="13069" xr:uid="{00000000-0005-0000-0000-00008A3F0000}"/>
    <cellStyle name="40% - Accent4 10 3 2 2 4" xfId="21024" xr:uid="{00000000-0005-0000-0000-00008B3F0000}"/>
    <cellStyle name="40% - Accent4 10 3 2 3" xfId="6877" xr:uid="{00000000-0005-0000-0000-00008C3F0000}"/>
    <cellStyle name="40% - Accent4 10 3 2 3 2" xfId="14849" xr:uid="{00000000-0005-0000-0000-00008D3F0000}"/>
    <cellStyle name="40% - Accent4 10 3 2 3 3" xfId="22796" xr:uid="{00000000-0005-0000-0000-00008E3F0000}"/>
    <cellStyle name="40% - Accent4 10 3 2 4" xfId="11313" xr:uid="{00000000-0005-0000-0000-00008F3F0000}"/>
    <cellStyle name="40% - Accent4 10 3 2 5" xfId="19268" xr:uid="{00000000-0005-0000-0000-0000903F0000}"/>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3" xfId="23675" xr:uid="{00000000-0005-0000-0000-0000953F0000}"/>
    <cellStyle name="40% - Accent4 10 3 3 3" xfId="12191" xr:uid="{00000000-0005-0000-0000-0000963F0000}"/>
    <cellStyle name="40% - Accent4 10 3 3 4" xfId="20146" xr:uid="{00000000-0005-0000-0000-0000973F0000}"/>
    <cellStyle name="40% - Accent4 10 3 4" xfId="5986" xr:uid="{00000000-0005-0000-0000-0000983F0000}"/>
    <cellStyle name="40% - Accent4 10 3 4 2" xfId="13970" xr:uid="{00000000-0005-0000-0000-0000993F0000}"/>
    <cellStyle name="40% - Accent4 10 3 4 3" xfId="21918" xr:uid="{00000000-0005-0000-0000-00009A3F0000}"/>
    <cellStyle name="40% - Accent4 10 3 5" xfId="9539" xr:uid="{00000000-0005-0000-0000-00009B3F0000}"/>
    <cellStyle name="40% - Accent4 10 3 5 2" xfId="17497" xr:uid="{00000000-0005-0000-0000-00009C3F0000}"/>
    <cellStyle name="40% - Accent4 10 3 5 3" xfId="25441" xr:uid="{00000000-0005-0000-0000-00009D3F0000}"/>
    <cellStyle name="40% - Accent4 10 3 6" xfId="10435" xr:uid="{00000000-0005-0000-0000-00009E3F0000}"/>
    <cellStyle name="40% - Accent4 10 3 7" xfId="18390" xr:uid="{00000000-0005-0000-0000-00009F3F0000}"/>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3" xfId="24550" xr:uid="{00000000-0005-0000-0000-0000A63F0000}"/>
    <cellStyle name="40% - Accent4 10 5 2 3" xfId="13066" xr:uid="{00000000-0005-0000-0000-0000A73F0000}"/>
    <cellStyle name="40% - Accent4 10 5 2 4" xfId="21021" xr:uid="{00000000-0005-0000-0000-0000A83F0000}"/>
    <cellStyle name="40% - Accent4 10 5 3" xfId="6874" xr:uid="{00000000-0005-0000-0000-0000A93F0000}"/>
    <cellStyle name="40% - Accent4 10 5 3 2" xfId="14846" xr:uid="{00000000-0005-0000-0000-0000AA3F0000}"/>
    <cellStyle name="40% - Accent4 10 5 3 3" xfId="22793" xr:uid="{00000000-0005-0000-0000-0000AB3F0000}"/>
    <cellStyle name="40% - Accent4 10 5 4" xfId="11310" xr:uid="{00000000-0005-0000-0000-0000AC3F0000}"/>
    <cellStyle name="40% - Accent4 10 5 5" xfId="19265" xr:uid="{00000000-0005-0000-0000-0000AD3F0000}"/>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3" xfId="23672" xr:uid="{00000000-0005-0000-0000-0000B23F0000}"/>
    <cellStyle name="40% - Accent4 10 6 3" xfId="12188" xr:uid="{00000000-0005-0000-0000-0000B33F0000}"/>
    <cellStyle name="40% - Accent4 10 6 4" xfId="20143" xr:uid="{00000000-0005-0000-0000-0000B43F0000}"/>
    <cellStyle name="40% - Accent4 10 7" xfId="5983" xr:uid="{00000000-0005-0000-0000-0000B53F0000}"/>
    <cellStyle name="40% - Accent4 10 7 2" xfId="13967" xr:uid="{00000000-0005-0000-0000-0000B63F0000}"/>
    <cellStyle name="40% - Accent4 10 7 3" xfId="21915" xr:uid="{00000000-0005-0000-0000-0000B73F0000}"/>
    <cellStyle name="40% - Accent4 10 8" xfId="9536" xr:uid="{00000000-0005-0000-0000-0000B83F0000}"/>
    <cellStyle name="40% - Accent4 10 8 2" xfId="17494" xr:uid="{00000000-0005-0000-0000-0000B93F0000}"/>
    <cellStyle name="40% - Accent4 10 8 3" xfId="25438" xr:uid="{00000000-0005-0000-0000-0000BA3F0000}"/>
    <cellStyle name="40% - Accent4 10 9" xfId="10432" xr:uid="{00000000-0005-0000-0000-0000BB3F0000}"/>
    <cellStyle name="40% - Accent4 10_Exh G" xfId="3057" xr:uid="{00000000-0005-0000-0000-0000BC3F0000}"/>
    <cellStyle name="40% - Accent4 11" xfId="488" xr:uid="{00000000-0005-0000-0000-0000BD3F0000}"/>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3" xfId="24556" xr:uid="{00000000-0005-0000-0000-0000C43F0000}"/>
    <cellStyle name="40% - Accent4 11 2 2 2 2 3" xfId="13072" xr:uid="{00000000-0005-0000-0000-0000C53F0000}"/>
    <cellStyle name="40% - Accent4 11 2 2 2 2 4" xfId="21027" xr:uid="{00000000-0005-0000-0000-0000C63F0000}"/>
    <cellStyle name="40% - Accent4 11 2 2 2 3" xfId="6880" xr:uid="{00000000-0005-0000-0000-0000C73F0000}"/>
    <cellStyle name="40% - Accent4 11 2 2 2 3 2" xfId="14852" xr:uid="{00000000-0005-0000-0000-0000C83F0000}"/>
    <cellStyle name="40% - Accent4 11 2 2 2 3 3" xfId="22799" xr:uid="{00000000-0005-0000-0000-0000C93F0000}"/>
    <cellStyle name="40% - Accent4 11 2 2 2 4" xfId="11316" xr:uid="{00000000-0005-0000-0000-0000CA3F0000}"/>
    <cellStyle name="40% - Accent4 11 2 2 2 5" xfId="19271" xr:uid="{00000000-0005-0000-0000-0000CB3F0000}"/>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3" xfId="23678" xr:uid="{00000000-0005-0000-0000-0000D03F0000}"/>
    <cellStyle name="40% - Accent4 11 2 2 3 3" xfId="12194" xr:uid="{00000000-0005-0000-0000-0000D13F0000}"/>
    <cellStyle name="40% - Accent4 11 2 2 3 4" xfId="20149" xr:uid="{00000000-0005-0000-0000-0000D23F0000}"/>
    <cellStyle name="40% - Accent4 11 2 2 4" xfId="5989" xr:uid="{00000000-0005-0000-0000-0000D33F0000}"/>
    <cellStyle name="40% - Accent4 11 2 2 4 2" xfId="13973" xr:uid="{00000000-0005-0000-0000-0000D43F0000}"/>
    <cellStyle name="40% - Accent4 11 2 2 4 3" xfId="21921" xr:uid="{00000000-0005-0000-0000-0000D53F0000}"/>
    <cellStyle name="40% - Accent4 11 2 2 5" xfId="9542" xr:uid="{00000000-0005-0000-0000-0000D63F0000}"/>
    <cellStyle name="40% - Accent4 11 2 2 5 2" xfId="17500" xr:uid="{00000000-0005-0000-0000-0000D73F0000}"/>
    <cellStyle name="40% - Accent4 11 2 2 5 3" xfId="25444" xr:uid="{00000000-0005-0000-0000-0000D83F0000}"/>
    <cellStyle name="40% - Accent4 11 2 2 6" xfId="10438" xr:uid="{00000000-0005-0000-0000-0000D93F0000}"/>
    <cellStyle name="40% - Accent4 11 2 2 7" xfId="18393" xr:uid="{00000000-0005-0000-0000-0000DA3F0000}"/>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3" xfId="24555" xr:uid="{00000000-0005-0000-0000-0000E03F0000}"/>
    <cellStyle name="40% - Accent4 11 2 3 2 3" xfId="13071" xr:uid="{00000000-0005-0000-0000-0000E13F0000}"/>
    <cellStyle name="40% - Accent4 11 2 3 2 4" xfId="21026" xr:uid="{00000000-0005-0000-0000-0000E23F0000}"/>
    <cellStyle name="40% - Accent4 11 2 3 3" xfId="6879" xr:uid="{00000000-0005-0000-0000-0000E33F0000}"/>
    <cellStyle name="40% - Accent4 11 2 3 3 2" xfId="14851" xr:uid="{00000000-0005-0000-0000-0000E43F0000}"/>
    <cellStyle name="40% - Accent4 11 2 3 3 3" xfId="22798" xr:uid="{00000000-0005-0000-0000-0000E53F0000}"/>
    <cellStyle name="40% - Accent4 11 2 3 4" xfId="11315" xr:uid="{00000000-0005-0000-0000-0000E63F0000}"/>
    <cellStyle name="40% - Accent4 11 2 3 5" xfId="19270" xr:uid="{00000000-0005-0000-0000-0000E73F0000}"/>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3" xfId="23677" xr:uid="{00000000-0005-0000-0000-0000EC3F0000}"/>
    <cellStyle name="40% - Accent4 11 2 4 3" xfId="12193" xr:uid="{00000000-0005-0000-0000-0000ED3F0000}"/>
    <cellStyle name="40% - Accent4 11 2 4 4" xfId="20148" xr:uid="{00000000-0005-0000-0000-0000EE3F0000}"/>
    <cellStyle name="40% - Accent4 11 2 5" xfId="5988" xr:uid="{00000000-0005-0000-0000-0000EF3F0000}"/>
    <cellStyle name="40% - Accent4 11 2 5 2" xfId="13972" xr:uid="{00000000-0005-0000-0000-0000F03F0000}"/>
    <cellStyle name="40% - Accent4 11 2 5 3" xfId="21920" xr:uid="{00000000-0005-0000-0000-0000F13F0000}"/>
    <cellStyle name="40% - Accent4 11 2 6" xfId="9541" xr:uid="{00000000-0005-0000-0000-0000F23F0000}"/>
    <cellStyle name="40% - Accent4 11 2 6 2" xfId="17499" xr:uid="{00000000-0005-0000-0000-0000F33F0000}"/>
    <cellStyle name="40% - Accent4 11 2 6 3" xfId="25443" xr:uid="{00000000-0005-0000-0000-0000F43F0000}"/>
    <cellStyle name="40% - Accent4 11 2 7" xfId="10437" xr:uid="{00000000-0005-0000-0000-0000F53F0000}"/>
    <cellStyle name="40% - Accent4 11 2 8" xfId="18392" xr:uid="{00000000-0005-0000-0000-0000F63F0000}"/>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3" xfId="24557" xr:uid="{00000000-0005-0000-0000-0000FD3F0000}"/>
    <cellStyle name="40% - Accent4 11 3 2 2 3" xfId="13073" xr:uid="{00000000-0005-0000-0000-0000FE3F0000}"/>
    <cellStyle name="40% - Accent4 11 3 2 2 4" xfId="21028" xr:uid="{00000000-0005-0000-0000-0000FF3F0000}"/>
    <cellStyle name="40% - Accent4 11 3 2 3" xfId="6881" xr:uid="{00000000-0005-0000-0000-000000400000}"/>
    <cellStyle name="40% - Accent4 11 3 2 3 2" xfId="14853" xr:uid="{00000000-0005-0000-0000-000001400000}"/>
    <cellStyle name="40% - Accent4 11 3 2 3 3" xfId="22800" xr:uid="{00000000-0005-0000-0000-000002400000}"/>
    <cellStyle name="40% - Accent4 11 3 2 4" xfId="11317" xr:uid="{00000000-0005-0000-0000-000003400000}"/>
    <cellStyle name="40% - Accent4 11 3 2 5" xfId="19272" xr:uid="{00000000-0005-0000-0000-000004400000}"/>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3" xfId="23679" xr:uid="{00000000-0005-0000-0000-000009400000}"/>
    <cellStyle name="40% - Accent4 11 3 3 3" xfId="12195" xr:uid="{00000000-0005-0000-0000-00000A400000}"/>
    <cellStyle name="40% - Accent4 11 3 3 4" xfId="20150" xr:uid="{00000000-0005-0000-0000-00000B400000}"/>
    <cellStyle name="40% - Accent4 11 3 4" xfId="5990" xr:uid="{00000000-0005-0000-0000-00000C400000}"/>
    <cellStyle name="40% - Accent4 11 3 4 2" xfId="13974" xr:uid="{00000000-0005-0000-0000-00000D400000}"/>
    <cellStyle name="40% - Accent4 11 3 4 3" xfId="21922" xr:uid="{00000000-0005-0000-0000-00000E400000}"/>
    <cellStyle name="40% - Accent4 11 3 5" xfId="9543" xr:uid="{00000000-0005-0000-0000-00000F400000}"/>
    <cellStyle name="40% - Accent4 11 3 5 2" xfId="17501" xr:uid="{00000000-0005-0000-0000-000010400000}"/>
    <cellStyle name="40% - Accent4 11 3 5 3" xfId="25445" xr:uid="{00000000-0005-0000-0000-000011400000}"/>
    <cellStyle name="40% - Accent4 11 3 6" xfId="10439" xr:uid="{00000000-0005-0000-0000-000012400000}"/>
    <cellStyle name="40% - Accent4 11 3 7" xfId="18394" xr:uid="{00000000-0005-0000-0000-000013400000}"/>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3" xfId="24554" xr:uid="{00000000-0005-0000-0000-000019400000}"/>
    <cellStyle name="40% - Accent4 11 4 2 3" xfId="13070" xr:uid="{00000000-0005-0000-0000-00001A400000}"/>
    <cellStyle name="40% - Accent4 11 4 2 4" xfId="21025" xr:uid="{00000000-0005-0000-0000-00001B400000}"/>
    <cellStyle name="40% - Accent4 11 4 3" xfId="6878" xr:uid="{00000000-0005-0000-0000-00001C400000}"/>
    <cellStyle name="40% - Accent4 11 4 3 2" xfId="14850" xr:uid="{00000000-0005-0000-0000-00001D400000}"/>
    <cellStyle name="40% - Accent4 11 4 3 3" xfId="22797" xr:uid="{00000000-0005-0000-0000-00001E400000}"/>
    <cellStyle name="40% - Accent4 11 4 4" xfId="11314" xr:uid="{00000000-0005-0000-0000-00001F400000}"/>
    <cellStyle name="40% - Accent4 11 4 5" xfId="19269" xr:uid="{00000000-0005-0000-0000-000020400000}"/>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3" xfId="23676" xr:uid="{00000000-0005-0000-0000-000025400000}"/>
    <cellStyle name="40% - Accent4 11 5 3" xfId="12192" xr:uid="{00000000-0005-0000-0000-000026400000}"/>
    <cellStyle name="40% - Accent4 11 5 4" xfId="20147" xr:uid="{00000000-0005-0000-0000-000027400000}"/>
    <cellStyle name="40% - Accent4 11 6" xfId="5987" xr:uid="{00000000-0005-0000-0000-000028400000}"/>
    <cellStyle name="40% - Accent4 11 6 2" xfId="13971" xr:uid="{00000000-0005-0000-0000-000029400000}"/>
    <cellStyle name="40% - Accent4 11 6 3" xfId="21919" xr:uid="{00000000-0005-0000-0000-00002A400000}"/>
    <cellStyle name="40% - Accent4 11 7" xfId="9540" xr:uid="{00000000-0005-0000-0000-00002B400000}"/>
    <cellStyle name="40% - Accent4 11 7 2" xfId="17498" xr:uid="{00000000-0005-0000-0000-00002C400000}"/>
    <cellStyle name="40% - Accent4 11 7 3" xfId="25442" xr:uid="{00000000-0005-0000-0000-00002D400000}"/>
    <cellStyle name="40% - Accent4 11 8" xfId="10436" xr:uid="{00000000-0005-0000-0000-00002E400000}"/>
    <cellStyle name="40% - Accent4 11 9" xfId="18391" xr:uid="{00000000-0005-0000-0000-00002F400000}"/>
    <cellStyle name="40% - Accent4 11_Exh G" xfId="3065" xr:uid="{00000000-0005-0000-0000-000030400000}"/>
    <cellStyle name="40% - Accent4 12" xfId="492" xr:uid="{00000000-0005-0000-0000-000031400000}"/>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3" xfId="24560" xr:uid="{00000000-0005-0000-0000-000038400000}"/>
    <cellStyle name="40% - Accent4 12 2 2 2 2 3" xfId="13076" xr:uid="{00000000-0005-0000-0000-000039400000}"/>
    <cellStyle name="40% - Accent4 12 2 2 2 2 4" xfId="21031" xr:uid="{00000000-0005-0000-0000-00003A400000}"/>
    <cellStyle name="40% - Accent4 12 2 2 2 3" xfId="6884" xr:uid="{00000000-0005-0000-0000-00003B400000}"/>
    <cellStyle name="40% - Accent4 12 2 2 2 3 2" xfId="14856" xr:uid="{00000000-0005-0000-0000-00003C400000}"/>
    <cellStyle name="40% - Accent4 12 2 2 2 3 3" xfId="22803" xr:uid="{00000000-0005-0000-0000-00003D400000}"/>
    <cellStyle name="40% - Accent4 12 2 2 2 4" xfId="11320" xr:uid="{00000000-0005-0000-0000-00003E400000}"/>
    <cellStyle name="40% - Accent4 12 2 2 2 5" xfId="19275" xr:uid="{00000000-0005-0000-0000-00003F400000}"/>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3" xfId="23682" xr:uid="{00000000-0005-0000-0000-000044400000}"/>
    <cellStyle name="40% - Accent4 12 2 2 3 3" xfId="12198" xr:uid="{00000000-0005-0000-0000-000045400000}"/>
    <cellStyle name="40% - Accent4 12 2 2 3 4" xfId="20153" xr:uid="{00000000-0005-0000-0000-000046400000}"/>
    <cellStyle name="40% - Accent4 12 2 2 4" xfId="5993" xr:uid="{00000000-0005-0000-0000-000047400000}"/>
    <cellStyle name="40% - Accent4 12 2 2 4 2" xfId="13977" xr:uid="{00000000-0005-0000-0000-000048400000}"/>
    <cellStyle name="40% - Accent4 12 2 2 4 3" xfId="21925" xr:uid="{00000000-0005-0000-0000-000049400000}"/>
    <cellStyle name="40% - Accent4 12 2 2 5" xfId="9546" xr:uid="{00000000-0005-0000-0000-00004A400000}"/>
    <cellStyle name="40% - Accent4 12 2 2 5 2" xfId="17504" xr:uid="{00000000-0005-0000-0000-00004B400000}"/>
    <cellStyle name="40% - Accent4 12 2 2 5 3" xfId="25448" xr:uid="{00000000-0005-0000-0000-00004C400000}"/>
    <cellStyle name="40% - Accent4 12 2 2 6" xfId="10442" xr:uid="{00000000-0005-0000-0000-00004D400000}"/>
    <cellStyle name="40% - Accent4 12 2 2 7" xfId="18397" xr:uid="{00000000-0005-0000-0000-00004E400000}"/>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3" xfId="24559" xr:uid="{00000000-0005-0000-0000-000054400000}"/>
    <cellStyle name="40% - Accent4 12 2 3 2 3" xfId="13075" xr:uid="{00000000-0005-0000-0000-000055400000}"/>
    <cellStyle name="40% - Accent4 12 2 3 2 4" xfId="21030" xr:uid="{00000000-0005-0000-0000-000056400000}"/>
    <cellStyle name="40% - Accent4 12 2 3 3" xfId="6883" xr:uid="{00000000-0005-0000-0000-000057400000}"/>
    <cellStyle name="40% - Accent4 12 2 3 3 2" xfId="14855" xr:uid="{00000000-0005-0000-0000-000058400000}"/>
    <cellStyle name="40% - Accent4 12 2 3 3 3" xfId="22802" xr:uid="{00000000-0005-0000-0000-000059400000}"/>
    <cellStyle name="40% - Accent4 12 2 3 4" xfId="11319" xr:uid="{00000000-0005-0000-0000-00005A400000}"/>
    <cellStyle name="40% - Accent4 12 2 3 5" xfId="19274" xr:uid="{00000000-0005-0000-0000-00005B400000}"/>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3" xfId="23681" xr:uid="{00000000-0005-0000-0000-000060400000}"/>
    <cellStyle name="40% - Accent4 12 2 4 3" xfId="12197" xr:uid="{00000000-0005-0000-0000-000061400000}"/>
    <cellStyle name="40% - Accent4 12 2 4 4" xfId="20152" xr:uid="{00000000-0005-0000-0000-000062400000}"/>
    <cellStyle name="40% - Accent4 12 2 5" xfId="5992" xr:uid="{00000000-0005-0000-0000-000063400000}"/>
    <cellStyle name="40% - Accent4 12 2 5 2" xfId="13976" xr:uid="{00000000-0005-0000-0000-000064400000}"/>
    <cellStyle name="40% - Accent4 12 2 5 3" xfId="21924" xr:uid="{00000000-0005-0000-0000-000065400000}"/>
    <cellStyle name="40% - Accent4 12 2 6" xfId="9545" xr:uid="{00000000-0005-0000-0000-000066400000}"/>
    <cellStyle name="40% - Accent4 12 2 6 2" xfId="17503" xr:uid="{00000000-0005-0000-0000-000067400000}"/>
    <cellStyle name="40% - Accent4 12 2 6 3" xfId="25447" xr:uid="{00000000-0005-0000-0000-000068400000}"/>
    <cellStyle name="40% - Accent4 12 2 7" xfId="10441" xr:uid="{00000000-0005-0000-0000-000069400000}"/>
    <cellStyle name="40% - Accent4 12 2 8" xfId="18396" xr:uid="{00000000-0005-0000-0000-00006A400000}"/>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3" xfId="24561" xr:uid="{00000000-0005-0000-0000-000071400000}"/>
    <cellStyle name="40% - Accent4 12 3 2 2 3" xfId="13077" xr:uid="{00000000-0005-0000-0000-000072400000}"/>
    <cellStyle name="40% - Accent4 12 3 2 2 4" xfId="21032" xr:uid="{00000000-0005-0000-0000-000073400000}"/>
    <cellStyle name="40% - Accent4 12 3 2 3" xfId="6885" xr:uid="{00000000-0005-0000-0000-000074400000}"/>
    <cellStyle name="40% - Accent4 12 3 2 3 2" xfId="14857" xr:uid="{00000000-0005-0000-0000-000075400000}"/>
    <cellStyle name="40% - Accent4 12 3 2 3 3" xfId="22804" xr:uid="{00000000-0005-0000-0000-000076400000}"/>
    <cellStyle name="40% - Accent4 12 3 2 4" xfId="11321" xr:uid="{00000000-0005-0000-0000-000077400000}"/>
    <cellStyle name="40% - Accent4 12 3 2 5" xfId="19276" xr:uid="{00000000-0005-0000-0000-000078400000}"/>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3" xfId="23683" xr:uid="{00000000-0005-0000-0000-00007D400000}"/>
    <cellStyle name="40% - Accent4 12 3 3 3" xfId="12199" xr:uid="{00000000-0005-0000-0000-00007E400000}"/>
    <cellStyle name="40% - Accent4 12 3 3 4" xfId="20154" xr:uid="{00000000-0005-0000-0000-00007F400000}"/>
    <cellStyle name="40% - Accent4 12 3 4" xfId="5994" xr:uid="{00000000-0005-0000-0000-000080400000}"/>
    <cellStyle name="40% - Accent4 12 3 4 2" xfId="13978" xr:uid="{00000000-0005-0000-0000-000081400000}"/>
    <cellStyle name="40% - Accent4 12 3 4 3" xfId="21926" xr:uid="{00000000-0005-0000-0000-000082400000}"/>
    <cellStyle name="40% - Accent4 12 3 5" xfId="9547" xr:uid="{00000000-0005-0000-0000-000083400000}"/>
    <cellStyle name="40% - Accent4 12 3 5 2" xfId="17505" xr:uid="{00000000-0005-0000-0000-000084400000}"/>
    <cellStyle name="40% - Accent4 12 3 5 3" xfId="25449" xr:uid="{00000000-0005-0000-0000-000085400000}"/>
    <cellStyle name="40% - Accent4 12 3 6" xfId="10443" xr:uid="{00000000-0005-0000-0000-000086400000}"/>
    <cellStyle name="40% - Accent4 12 3 7" xfId="18398" xr:uid="{00000000-0005-0000-0000-000087400000}"/>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3" xfId="24558" xr:uid="{00000000-0005-0000-0000-00008D400000}"/>
    <cellStyle name="40% - Accent4 12 4 2 3" xfId="13074" xr:uid="{00000000-0005-0000-0000-00008E400000}"/>
    <cellStyle name="40% - Accent4 12 4 2 4" xfId="21029" xr:uid="{00000000-0005-0000-0000-00008F400000}"/>
    <cellStyle name="40% - Accent4 12 4 3" xfId="6882" xr:uid="{00000000-0005-0000-0000-000090400000}"/>
    <cellStyle name="40% - Accent4 12 4 3 2" xfId="14854" xr:uid="{00000000-0005-0000-0000-000091400000}"/>
    <cellStyle name="40% - Accent4 12 4 3 3" xfId="22801" xr:uid="{00000000-0005-0000-0000-000092400000}"/>
    <cellStyle name="40% - Accent4 12 4 4" xfId="11318" xr:uid="{00000000-0005-0000-0000-000093400000}"/>
    <cellStyle name="40% - Accent4 12 4 5" xfId="19273" xr:uid="{00000000-0005-0000-0000-000094400000}"/>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3" xfId="23680" xr:uid="{00000000-0005-0000-0000-000099400000}"/>
    <cellStyle name="40% - Accent4 12 5 3" xfId="12196" xr:uid="{00000000-0005-0000-0000-00009A400000}"/>
    <cellStyle name="40% - Accent4 12 5 4" xfId="20151" xr:uid="{00000000-0005-0000-0000-00009B400000}"/>
    <cellStyle name="40% - Accent4 12 6" xfId="5991" xr:uid="{00000000-0005-0000-0000-00009C400000}"/>
    <cellStyle name="40% - Accent4 12 6 2" xfId="13975" xr:uid="{00000000-0005-0000-0000-00009D400000}"/>
    <cellStyle name="40% - Accent4 12 6 3" xfId="21923" xr:uid="{00000000-0005-0000-0000-00009E400000}"/>
    <cellStyle name="40% - Accent4 12 7" xfId="9544" xr:uid="{00000000-0005-0000-0000-00009F400000}"/>
    <cellStyle name="40% - Accent4 12 7 2" xfId="17502" xr:uid="{00000000-0005-0000-0000-0000A0400000}"/>
    <cellStyle name="40% - Accent4 12 7 3" xfId="25446" xr:uid="{00000000-0005-0000-0000-0000A1400000}"/>
    <cellStyle name="40% - Accent4 12 8" xfId="10440" xr:uid="{00000000-0005-0000-0000-0000A2400000}"/>
    <cellStyle name="40% - Accent4 12 9" xfId="18395" xr:uid="{00000000-0005-0000-0000-0000A3400000}"/>
    <cellStyle name="40% - Accent4 12_Exh G" xfId="3073" xr:uid="{00000000-0005-0000-0000-0000A4400000}"/>
    <cellStyle name="40% - Accent4 13" xfId="496" xr:uid="{00000000-0005-0000-0000-0000A5400000}"/>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3" xfId="24564" xr:uid="{00000000-0005-0000-0000-0000AC400000}"/>
    <cellStyle name="40% - Accent4 13 2 2 2 2 3" xfId="13080" xr:uid="{00000000-0005-0000-0000-0000AD400000}"/>
    <cellStyle name="40% - Accent4 13 2 2 2 2 4" xfId="21035" xr:uid="{00000000-0005-0000-0000-0000AE400000}"/>
    <cellStyle name="40% - Accent4 13 2 2 2 3" xfId="6888" xr:uid="{00000000-0005-0000-0000-0000AF400000}"/>
    <cellStyle name="40% - Accent4 13 2 2 2 3 2" xfId="14860" xr:uid="{00000000-0005-0000-0000-0000B0400000}"/>
    <cellStyle name="40% - Accent4 13 2 2 2 3 3" xfId="22807" xr:uid="{00000000-0005-0000-0000-0000B1400000}"/>
    <cellStyle name="40% - Accent4 13 2 2 2 4" xfId="11324" xr:uid="{00000000-0005-0000-0000-0000B2400000}"/>
    <cellStyle name="40% - Accent4 13 2 2 2 5" xfId="19279" xr:uid="{00000000-0005-0000-0000-0000B3400000}"/>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3" xfId="23686" xr:uid="{00000000-0005-0000-0000-0000B8400000}"/>
    <cellStyle name="40% - Accent4 13 2 2 3 3" xfId="12202" xr:uid="{00000000-0005-0000-0000-0000B9400000}"/>
    <cellStyle name="40% - Accent4 13 2 2 3 4" xfId="20157" xr:uid="{00000000-0005-0000-0000-0000BA400000}"/>
    <cellStyle name="40% - Accent4 13 2 2 4" xfId="5997" xr:uid="{00000000-0005-0000-0000-0000BB400000}"/>
    <cellStyle name="40% - Accent4 13 2 2 4 2" xfId="13981" xr:uid="{00000000-0005-0000-0000-0000BC400000}"/>
    <cellStyle name="40% - Accent4 13 2 2 4 3" xfId="21929" xr:uid="{00000000-0005-0000-0000-0000BD400000}"/>
    <cellStyle name="40% - Accent4 13 2 2 5" xfId="9550" xr:uid="{00000000-0005-0000-0000-0000BE400000}"/>
    <cellStyle name="40% - Accent4 13 2 2 5 2" xfId="17508" xr:uid="{00000000-0005-0000-0000-0000BF400000}"/>
    <cellStyle name="40% - Accent4 13 2 2 5 3" xfId="25452" xr:uid="{00000000-0005-0000-0000-0000C0400000}"/>
    <cellStyle name="40% - Accent4 13 2 2 6" xfId="10446" xr:uid="{00000000-0005-0000-0000-0000C1400000}"/>
    <cellStyle name="40% - Accent4 13 2 2 7" xfId="18401" xr:uid="{00000000-0005-0000-0000-0000C2400000}"/>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3" xfId="24563" xr:uid="{00000000-0005-0000-0000-0000C8400000}"/>
    <cellStyle name="40% - Accent4 13 2 3 2 3" xfId="13079" xr:uid="{00000000-0005-0000-0000-0000C9400000}"/>
    <cellStyle name="40% - Accent4 13 2 3 2 4" xfId="21034" xr:uid="{00000000-0005-0000-0000-0000CA400000}"/>
    <cellStyle name="40% - Accent4 13 2 3 3" xfId="6887" xr:uid="{00000000-0005-0000-0000-0000CB400000}"/>
    <cellStyle name="40% - Accent4 13 2 3 3 2" xfId="14859" xr:uid="{00000000-0005-0000-0000-0000CC400000}"/>
    <cellStyle name="40% - Accent4 13 2 3 3 3" xfId="22806" xr:uid="{00000000-0005-0000-0000-0000CD400000}"/>
    <cellStyle name="40% - Accent4 13 2 3 4" xfId="11323" xr:uid="{00000000-0005-0000-0000-0000CE400000}"/>
    <cellStyle name="40% - Accent4 13 2 3 5" xfId="19278" xr:uid="{00000000-0005-0000-0000-0000CF400000}"/>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3" xfId="23685" xr:uid="{00000000-0005-0000-0000-0000D4400000}"/>
    <cellStyle name="40% - Accent4 13 2 4 3" xfId="12201" xr:uid="{00000000-0005-0000-0000-0000D5400000}"/>
    <cellStyle name="40% - Accent4 13 2 4 4" xfId="20156" xr:uid="{00000000-0005-0000-0000-0000D6400000}"/>
    <cellStyle name="40% - Accent4 13 2 5" xfId="5996" xr:uid="{00000000-0005-0000-0000-0000D7400000}"/>
    <cellStyle name="40% - Accent4 13 2 5 2" xfId="13980" xr:uid="{00000000-0005-0000-0000-0000D8400000}"/>
    <cellStyle name="40% - Accent4 13 2 5 3" xfId="21928" xr:uid="{00000000-0005-0000-0000-0000D9400000}"/>
    <cellStyle name="40% - Accent4 13 2 6" xfId="9549" xr:uid="{00000000-0005-0000-0000-0000DA400000}"/>
    <cellStyle name="40% - Accent4 13 2 6 2" xfId="17507" xr:uid="{00000000-0005-0000-0000-0000DB400000}"/>
    <cellStyle name="40% - Accent4 13 2 6 3" xfId="25451" xr:uid="{00000000-0005-0000-0000-0000DC400000}"/>
    <cellStyle name="40% - Accent4 13 2 7" xfId="10445" xr:uid="{00000000-0005-0000-0000-0000DD400000}"/>
    <cellStyle name="40% - Accent4 13 2 8" xfId="18400" xr:uid="{00000000-0005-0000-0000-0000DE400000}"/>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3" xfId="24565" xr:uid="{00000000-0005-0000-0000-0000E5400000}"/>
    <cellStyle name="40% - Accent4 13 3 2 2 3" xfId="13081" xr:uid="{00000000-0005-0000-0000-0000E6400000}"/>
    <cellStyle name="40% - Accent4 13 3 2 2 4" xfId="21036" xr:uid="{00000000-0005-0000-0000-0000E7400000}"/>
    <cellStyle name="40% - Accent4 13 3 2 3" xfId="6889" xr:uid="{00000000-0005-0000-0000-0000E8400000}"/>
    <cellStyle name="40% - Accent4 13 3 2 3 2" xfId="14861" xr:uid="{00000000-0005-0000-0000-0000E9400000}"/>
    <cellStyle name="40% - Accent4 13 3 2 3 3" xfId="22808" xr:uid="{00000000-0005-0000-0000-0000EA400000}"/>
    <cellStyle name="40% - Accent4 13 3 2 4" xfId="11325" xr:uid="{00000000-0005-0000-0000-0000EB400000}"/>
    <cellStyle name="40% - Accent4 13 3 2 5" xfId="19280" xr:uid="{00000000-0005-0000-0000-0000EC40000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3" xfId="23687" xr:uid="{00000000-0005-0000-0000-0000F1400000}"/>
    <cellStyle name="40% - Accent4 13 3 3 3" xfId="12203" xr:uid="{00000000-0005-0000-0000-0000F2400000}"/>
    <cellStyle name="40% - Accent4 13 3 3 4" xfId="20158" xr:uid="{00000000-0005-0000-0000-0000F3400000}"/>
    <cellStyle name="40% - Accent4 13 3 4" xfId="5998" xr:uid="{00000000-0005-0000-0000-0000F4400000}"/>
    <cellStyle name="40% - Accent4 13 3 4 2" xfId="13982" xr:uid="{00000000-0005-0000-0000-0000F5400000}"/>
    <cellStyle name="40% - Accent4 13 3 4 3" xfId="21930" xr:uid="{00000000-0005-0000-0000-0000F6400000}"/>
    <cellStyle name="40% - Accent4 13 3 5" xfId="9551" xr:uid="{00000000-0005-0000-0000-0000F7400000}"/>
    <cellStyle name="40% - Accent4 13 3 5 2" xfId="17509" xr:uid="{00000000-0005-0000-0000-0000F8400000}"/>
    <cellStyle name="40% - Accent4 13 3 5 3" xfId="25453" xr:uid="{00000000-0005-0000-0000-0000F9400000}"/>
    <cellStyle name="40% - Accent4 13 3 6" xfId="10447" xr:uid="{00000000-0005-0000-0000-0000FA400000}"/>
    <cellStyle name="40% - Accent4 13 3 7" xfId="18402" xr:uid="{00000000-0005-0000-0000-0000FB400000}"/>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3" xfId="24562" xr:uid="{00000000-0005-0000-0000-000001410000}"/>
    <cellStyle name="40% - Accent4 13 4 2 3" xfId="13078" xr:uid="{00000000-0005-0000-0000-000002410000}"/>
    <cellStyle name="40% - Accent4 13 4 2 4" xfId="21033" xr:uid="{00000000-0005-0000-0000-000003410000}"/>
    <cellStyle name="40% - Accent4 13 4 3" xfId="6886" xr:uid="{00000000-0005-0000-0000-000004410000}"/>
    <cellStyle name="40% - Accent4 13 4 3 2" xfId="14858" xr:uid="{00000000-0005-0000-0000-000005410000}"/>
    <cellStyle name="40% - Accent4 13 4 3 3" xfId="22805" xr:uid="{00000000-0005-0000-0000-000006410000}"/>
    <cellStyle name="40% - Accent4 13 4 4" xfId="11322" xr:uid="{00000000-0005-0000-0000-000007410000}"/>
    <cellStyle name="40% - Accent4 13 4 5" xfId="19277" xr:uid="{00000000-0005-0000-0000-000008410000}"/>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3" xfId="23684" xr:uid="{00000000-0005-0000-0000-00000D410000}"/>
    <cellStyle name="40% - Accent4 13 5 3" xfId="12200" xr:uid="{00000000-0005-0000-0000-00000E410000}"/>
    <cellStyle name="40% - Accent4 13 5 4" xfId="20155" xr:uid="{00000000-0005-0000-0000-00000F410000}"/>
    <cellStyle name="40% - Accent4 13 6" xfId="5995" xr:uid="{00000000-0005-0000-0000-000010410000}"/>
    <cellStyle name="40% - Accent4 13 6 2" xfId="13979" xr:uid="{00000000-0005-0000-0000-000011410000}"/>
    <cellStyle name="40% - Accent4 13 6 3" xfId="21927" xr:uid="{00000000-0005-0000-0000-000012410000}"/>
    <cellStyle name="40% - Accent4 13 7" xfId="9548" xr:uid="{00000000-0005-0000-0000-000013410000}"/>
    <cellStyle name="40% - Accent4 13 7 2" xfId="17506" xr:uid="{00000000-0005-0000-0000-000014410000}"/>
    <cellStyle name="40% - Accent4 13 7 3" xfId="25450" xr:uid="{00000000-0005-0000-0000-000015410000}"/>
    <cellStyle name="40% - Accent4 13 8" xfId="10444" xr:uid="{00000000-0005-0000-0000-000016410000}"/>
    <cellStyle name="40% - Accent4 13 9" xfId="18399" xr:uid="{00000000-0005-0000-0000-000017410000}"/>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3" xfId="24567" xr:uid="{00000000-0005-0000-0000-00001F410000}"/>
    <cellStyle name="40% - Accent4 14 2 2 2 3" xfId="13083" xr:uid="{00000000-0005-0000-0000-000020410000}"/>
    <cellStyle name="40% - Accent4 14 2 2 2 4" xfId="21038" xr:uid="{00000000-0005-0000-0000-000021410000}"/>
    <cellStyle name="40% - Accent4 14 2 2 3" xfId="6891" xr:uid="{00000000-0005-0000-0000-000022410000}"/>
    <cellStyle name="40% - Accent4 14 2 2 3 2" xfId="14863" xr:uid="{00000000-0005-0000-0000-000023410000}"/>
    <cellStyle name="40% - Accent4 14 2 2 3 3" xfId="22810" xr:uid="{00000000-0005-0000-0000-000024410000}"/>
    <cellStyle name="40% - Accent4 14 2 2 4" xfId="11327" xr:uid="{00000000-0005-0000-0000-000025410000}"/>
    <cellStyle name="40% - Accent4 14 2 2 5" xfId="19282" xr:uid="{00000000-0005-0000-0000-000026410000}"/>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3" xfId="23689" xr:uid="{00000000-0005-0000-0000-00002B410000}"/>
    <cellStyle name="40% - Accent4 14 2 3 3" xfId="12205" xr:uid="{00000000-0005-0000-0000-00002C410000}"/>
    <cellStyle name="40% - Accent4 14 2 3 4" xfId="20160" xr:uid="{00000000-0005-0000-0000-00002D410000}"/>
    <cellStyle name="40% - Accent4 14 2 4" xfId="6000" xr:uid="{00000000-0005-0000-0000-00002E410000}"/>
    <cellStyle name="40% - Accent4 14 2 4 2" xfId="13984" xr:uid="{00000000-0005-0000-0000-00002F410000}"/>
    <cellStyle name="40% - Accent4 14 2 4 3" xfId="21932" xr:uid="{00000000-0005-0000-0000-000030410000}"/>
    <cellStyle name="40% - Accent4 14 2 5" xfId="9553" xr:uid="{00000000-0005-0000-0000-000031410000}"/>
    <cellStyle name="40% - Accent4 14 2 5 2" xfId="17511" xr:uid="{00000000-0005-0000-0000-000032410000}"/>
    <cellStyle name="40% - Accent4 14 2 5 3" xfId="25455" xr:uid="{00000000-0005-0000-0000-000033410000}"/>
    <cellStyle name="40% - Accent4 14 2 6" xfId="10449" xr:uid="{00000000-0005-0000-0000-000034410000}"/>
    <cellStyle name="40% - Accent4 14 2 7" xfId="18404" xr:uid="{00000000-0005-0000-0000-000035410000}"/>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3" xfId="24566" xr:uid="{00000000-0005-0000-0000-00003B410000}"/>
    <cellStyle name="40% - Accent4 14 3 2 3" xfId="13082" xr:uid="{00000000-0005-0000-0000-00003C410000}"/>
    <cellStyle name="40% - Accent4 14 3 2 4" xfId="21037" xr:uid="{00000000-0005-0000-0000-00003D410000}"/>
    <cellStyle name="40% - Accent4 14 3 3" xfId="6890" xr:uid="{00000000-0005-0000-0000-00003E410000}"/>
    <cellStyle name="40% - Accent4 14 3 3 2" xfId="14862" xr:uid="{00000000-0005-0000-0000-00003F410000}"/>
    <cellStyle name="40% - Accent4 14 3 3 3" xfId="22809" xr:uid="{00000000-0005-0000-0000-000040410000}"/>
    <cellStyle name="40% - Accent4 14 3 4" xfId="11326" xr:uid="{00000000-0005-0000-0000-000041410000}"/>
    <cellStyle name="40% - Accent4 14 3 5" xfId="19281" xr:uid="{00000000-0005-0000-0000-000042410000}"/>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3" xfId="23688" xr:uid="{00000000-0005-0000-0000-000047410000}"/>
    <cellStyle name="40% - Accent4 14 4 3" xfId="12204" xr:uid="{00000000-0005-0000-0000-000048410000}"/>
    <cellStyle name="40% - Accent4 14 4 4" xfId="20159" xr:uid="{00000000-0005-0000-0000-000049410000}"/>
    <cellStyle name="40% - Accent4 14 5" xfId="5999" xr:uid="{00000000-0005-0000-0000-00004A410000}"/>
    <cellStyle name="40% - Accent4 14 5 2" xfId="13983" xr:uid="{00000000-0005-0000-0000-00004B410000}"/>
    <cellStyle name="40% - Accent4 14 5 3" xfId="21931" xr:uid="{00000000-0005-0000-0000-00004C410000}"/>
    <cellStyle name="40% - Accent4 14 6" xfId="9552" xr:uid="{00000000-0005-0000-0000-00004D410000}"/>
    <cellStyle name="40% - Accent4 14 6 2" xfId="17510" xr:uid="{00000000-0005-0000-0000-00004E410000}"/>
    <cellStyle name="40% - Accent4 14 6 3" xfId="25454" xr:uid="{00000000-0005-0000-0000-00004F410000}"/>
    <cellStyle name="40% - Accent4 14 7" xfId="10448" xr:uid="{00000000-0005-0000-0000-000050410000}"/>
    <cellStyle name="40% - Accent4 14 8" xfId="18403" xr:uid="{00000000-0005-0000-0000-000051410000}"/>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3" xfId="24568" xr:uid="{00000000-0005-0000-0000-000058410000}"/>
    <cellStyle name="40% - Accent4 15 2 2 3" xfId="13084" xr:uid="{00000000-0005-0000-0000-000059410000}"/>
    <cellStyle name="40% - Accent4 15 2 2 4" xfId="21039" xr:uid="{00000000-0005-0000-0000-00005A410000}"/>
    <cellStyle name="40% - Accent4 15 2 3" xfId="6892" xr:uid="{00000000-0005-0000-0000-00005B410000}"/>
    <cellStyle name="40% - Accent4 15 2 3 2" xfId="14864" xr:uid="{00000000-0005-0000-0000-00005C410000}"/>
    <cellStyle name="40% - Accent4 15 2 3 3" xfId="22811" xr:uid="{00000000-0005-0000-0000-00005D410000}"/>
    <cellStyle name="40% - Accent4 15 2 4" xfId="11328" xr:uid="{00000000-0005-0000-0000-00005E410000}"/>
    <cellStyle name="40% - Accent4 15 2 5" xfId="19283" xr:uid="{00000000-0005-0000-0000-00005F410000}"/>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3" xfId="23690" xr:uid="{00000000-0005-0000-0000-000064410000}"/>
    <cellStyle name="40% - Accent4 15 3 3" xfId="12206" xr:uid="{00000000-0005-0000-0000-000065410000}"/>
    <cellStyle name="40% - Accent4 15 3 4" xfId="20161" xr:uid="{00000000-0005-0000-0000-000066410000}"/>
    <cellStyle name="40% - Accent4 15 4" xfId="6001" xr:uid="{00000000-0005-0000-0000-000067410000}"/>
    <cellStyle name="40% - Accent4 15 4 2" xfId="13985" xr:uid="{00000000-0005-0000-0000-000068410000}"/>
    <cellStyle name="40% - Accent4 15 4 3" xfId="21933" xr:uid="{00000000-0005-0000-0000-000069410000}"/>
    <cellStyle name="40% - Accent4 15 5" xfId="9554" xr:uid="{00000000-0005-0000-0000-00006A410000}"/>
    <cellStyle name="40% - Accent4 15 5 2" xfId="17512" xr:uid="{00000000-0005-0000-0000-00006B410000}"/>
    <cellStyle name="40% - Accent4 15 5 3" xfId="25456" xr:uid="{00000000-0005-0000-0000-00006C410000}"/>
    <cellStyle name="40% - Accent4 15 6" xfId="10450" xr:uid="{00000000-0005-0000-0000-00006D410000}"/>
    <cellStyle name="40% - Accent4 15 7" xfId="18405" xr:uid="{00000000-0005-0000-0000-00006E410000}"/>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3" xfId="24820" xr:uid="{00000000-0005-0000-0000-000075410000}"/>
    <cellStyle name="40% - Accent4 16 2 2 3" xfId="13336" xr:uid="{00000000-0005-0000-0000-000076410000}"/>
    <cellStyle name="40% - Accent4 16 2 2 4" xfId="21291" xr:uid="{00000000-0005-0000-0000-000077410000}"/>
    <cellStyle name="40% - Accent4 16 2 3" xfId="7144" xr:uid="{00000000-0005-0000-0000-000078410000}"/>
    <cellStyle name="40% - Accent4 16 2 3 2" xfId="15116" xr:uid="{00000000-0005-0000-0000-000079410000}"/>
    <cellStyle name="40% - Accent4 16 2 3 3" xfId="23063" xr:uid="{00000000-0005-0000-0000-00007A410000}"/>
    <cellStyle name="40% - Accent4 16 2 4" xfId="11580" xr:uid="{00000000-0005-0000-0000-00007B410000}"/>
    <cellStyle name="40% - Accent4 16 2 5" xfId="19535" xr:uid="{00000000-0005-0000-0000-00007C410000}"/>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3" xfId="23942" xr:uid="{00000000-0005-0000-0000-000081410000}"/>
    <cellStyle name="40% - Accent4 16 3 3" xfId="12458" xr:uid="{00000000-0005-0000-0000-000082410000}"/>
    <cellStyle name="40% - Accent4 16 3 4" xfId="20413" xr:uid="{00000000-0005-0000-0000-000083410000}"/>
    <cellStyle name="40% - Accent4 16 4" xfId="6263" xr:uid="{00000000-0005-0000-0000-000084410000}"/>
    <cellStyle name="40% - Accent4 16 4 2" xfId="14238" xr:uid="{00000000-0005-0000-0000-000085410000}"/>
    <cellStyle name="40% - Accent4 16 4 3" xfId="22185" xr:uid="{00000000-0005-0000-0000-000086410000}"/>
    <cellStyle name="40% - Accent4 16 5" xfId="9806" xr:uid="{00000000-0005-0000-0000-000087410000}"/>
    <cellStyle name="40% - Accent4 16 5 2" xfId="17764" xr:uid="{00000000-0005-0000-0000-000088410000}"/>
    <cellStyle name="40% - Accent4 16 5 3" xfId="25708" xr:uid="{00000000-0005-0000-0000-000089410000}"/>
    <cellStyle name="40% - Accent4 16 6" xfId="10702" xr:uid="{00000000-0005-0000-0000-00008A410000}"/>
    <cellStyle name="40% - Accent4 16 7" xfId="18657" xr:uid="{00000000-0005-0000-0000-00008B410000}"/>
    <cellStyle name="40% - Accent4 16_Exh G" xfId="3095" xr:uid="{00000000-0005-0000-0000-00008C410000}"/>
    <cellStyle name="40% - Accent4 2" xfId="503" xr:uid="{00000000-0005-0000-0000-00008D410000}"/>
    <cellStyle name="40% - Accent4 2 10" xfId="18406" xr:uid="{00000000-0005-0000-0000-00008E410000}"/>
    <cellStyle name="40% - Accent4 2 2" xfId="504" xr:uid="{00000000-0005-0000-0000-00008F410000}"/>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3" xfId="24571" xr:uid="{00000000-0005-0000-0000-000095410000}"/>
    <cellStyle name="40% - Accent4 2 2 2 2 2 3" xfId="13087" xr:uid="{00000000-0005-0000-0000-000096410000}"/>
    <cellStyle name="40% - Accent4 2 2 2 2 2 4" xfId="21042" xr:uid="{00000000-0005-0000-0000-000097410000}"/>
    <cellStyle name="40% - Accent4 2 2 2 2 3" xfId="6895" xr:uid="{00000000-0005-0000-0000-000098410000}"/>
    <cellStyle name="40% - Accent4 2 2 2 2 3 2" xfId="14867" xr:uid="{00000000-0005-0000-0000-000099410000}"/>
    <cellStyle name="40% - Accent4 2 2 2 2 3 3" xfId="22814" xr:uid="{00000000-0005-0000-0000-00009A410000}"/>
    <cellStyle name="40% - Accent4 2 2 2 2 4" xfId="11331" xr:uid="{00000000-0005-0000-0000-00009B410000}"/>
    <cellStyle name="40% - Accent4 2 2 2 2 5" xfId="19286" xr:uid="{00000000-0005-0000-0000-00009C410000}"/>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3" xfId="23693" xr:uid="{00000000-0005-0000-0000-0000A1410000}"/>
    <cellStyle name="40% - Accent4 2 2 2 3 3" xfId="12209" xr:uid="{00000000-0005-0000-0000-0000A2410000}"/>
    <cellStyle name="40% - Accent4 2 2 2 3 4" xfId="20164" xr:uid="{00000000-0005-0000-0000-0000A3410000}"/>
    <cellStyle name="40% - Accent4 2 2 2 4" xfId="6004" xr:uid="{00000000-0005-0000-0000-0000A4410000}"/>
    <cellStyle name="40% - Accent4 2 2 2 4 2" xfId="13988" xr:uid="{00000000-0005-0000-0000-0000A5410000}"/>
    <cellStyle name="40% - Accent4 2 2 2 4 3" xfId="21936" xr:uid="{00000000-0005-0000-0000-0000A6410000}"/>
    <cellStyle name="40% - Accent4 2 2 2 5" xfId="9557" xr:uid="{00000000-0005-0000-0000-0000A7410000}"/>
    <cellStyle name="40% - Accent4 2 2 2 5 2" xfId="17515" xr:uid="{00000000-0005-0000-0000-0000A8410000}"/>
    <cellStyle name="40% - Accent4 2 2 2 5 3" xfId="25459" xr:uid="{00000000-0005-0000-0000-0000A9410000}"/>
    <cellStyle name="40% - Accent4 2 2 2 6" xfId="10453" xr:uid="{00000000-0005-0000-0000-0000AA410000}"/>
    <cellStyle name="40% - Accent4 2 2 2 7" xfId="18408" xr:uid="{00000000-0005-0000-0000-0000AB41000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3" xfId="24916" xr:uid="{00000000-0005-0000-0000-0000B2410000}"/>
    <cellStyle name="40% - Accent4 2 2 3 2 2 3" xfId="13432" xr:uid="{00000000-0005-0000-0000-0000B3410000}"/>
    <cellStyle name="40% - Accent4 2 2 3 2 2 4" xfId="21387" xr:uid="{00000000-0005-0000-0000-0000B4410000}"/>
    <cellStyle name="40% - Accent4 2 2 3 2 3" xfId="7240" xr:uid="{00000000-0005-0000-0000-0000B5410000}"/>
    <cellStyle name="40% - Accent4 2 2 3 2 3 2" xfId="15212" xr:uid="{00000000-0005-0000-0000-0000B6410000}"/>
    <cellStyle name="40% - Accent4 2 2 3 2 3 3" xfId="23159" xr:uid="{00000000-0005-0000-0000-0000B7410000}"/>
    <cellStyle name="40% - Accent4 2 2 3 2 4" xfId="11676" xr:uid="{00000000-0005-0000-0000-0000B8410000}"/>
    <cellStyle name="40% - Accent4 2 2 3 2 5" xfId="19631" xr:uid="{00000000-0005-0000-0000-0000B9410000}"/>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3" xfId="24038" xr:uid="{00000000-0005-0000-0000-0000BE410000}"/>
    <cellStyle name="40% - Accent4 2 2 3 3 3" xfId="12554" xr:uid="{00000000-0005-0000-0000-0000BF410000}"/>
    <cellStyle name="40% - Accent4 2 2 3 3 4" xfId="20509" xr:uid="{00000000-0005-0000-0000-0000C0410000}"/>
    <cellStyle name="40% - Accent4 2 2 3 4" xfId="6359" xr:uid="{00000000-0005-0000-0000-0000C1410000}"/>
    <cellStyle name="40% - Accent4 2 2 3 4 2" xfId="14334" xr:uid="{00000000-0005-0000-0000-0000C2410000}"/>
    <cellStyle name="40% - Accent4 2 2 3 4 3" xfId="22281" xr:uid="{00000000-0005-0000-0000-0000C3410000}"/>
    <cellStyle name="40% - Accent4 2 2 3 5" xfId="9902" xr:uid="{00000000-0005-0000-0000-0000C4410000}"/>
    <cellStyle name="40% - Accent4 2 2 3 5 2" xfId="17860" xr:uid="{00000000-0005-0000-0000-0000C5410000}"/>
    <cellStyle name="40% - Accent4 2 2 3 5 3" xfId="25804" xr:uid="{00000000-0005-0000-0000-0000C6410000}"/>
    <cellStyle name="40% - Accent4 2 2 3 6" xfId="10798" xr:uid="{00000000-0005-0000-0000-0000C7410000}"/>
    <cellStyle name="40% - Accent4 2 2 3 7" xfId="18753" xr:uid="{00000000-0005-0000-0000-0000C8410000}"/>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3" xfId="24570" xr:uid="{00000000-0005-0000-0000-0000CE410000}"/>
    <cellStyle name="40% - Accent4 2 2 4 2 3" xfId="13086" xr:uid="{00000000-0005-0000-0000-0000CF410000}"/>
    <cellStyle name="40% - Accent4 2 2 4 2 4" xfId="21041" xr:uid="{00000000-0005-0000-0000-0000D0410000}"/>
    <cellStyle name="40% - Accent4 2 2 4 3" xfId="6894" xr:uid="{00000000-0005-0000-0000-0000D1410000}"/>
    <cellStyle name="40% - Accent4 2 2 4 3 2" xfId="14866" xr:uid="{00000000-0005-0000-0000-0000D2410000}"/>
    <cellStyle name="40% - Accent4 2 2 4 3 3" xfId="22813" xr:uid="{00000000-0005-0000-0000-0000D3410000}"/>
    <cellStyle name="40% - Accent4 2 2 4 4" xfId="11330" xr:uid="{00000000-0005-0000-0000-0000D4410000}"/>
    <cellStyle name="40% - Accent4 2 2 4 5" xfId="19285" xr:uid="{00000000-0005-0000-0000-0000D5410000}"/>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3" xfId="23692" xr:uid="{00000000-0005-0000-0000-0000DA410000}"/>
    <cellStyle name="40% - Accent4 2 2 5 3" xfId="12208" xr:uid="{00000000-0005-0000-0000-0000DB410000}"/>
    <cellStyle name="40% - Accent4 2 2 5 4" xfId="20163" xr:uid="{00000000-0005-0000-0000-0000DC410000}"/>
    <cellStyle name="40% - Accent4 2 2 6" xfId="6003" xr:uid="{00000000-0005-0000-0000-0000DD410000}"/>
    <cellStyle name="40% - Accent4 2 2 6 2" xfId="13987" xr:uid="{00000000-0005-0000-0000-0000DE410000}"/>
    <cellStyle name="40% - Accent4 2 2 6 3" xfId="21935" xr:uid="{00000000-0005-0000-0000-0000DF410000}"/>
    <cellStyle name="40% - Accent4 2 2 7" xfId="9556" xr:uid="{00000000-0005-0000-0000-0000E0410000}"/>
    <cellStyle name="40% - Accent4 2 2 7 2" xfId="17514" xr:uid="{00000000-0005-0000-0000-0000E1410000}"/>
    <cellStyle name="40% - Accent4 2 2 7 3" xfId="25458" xr:uid="{00000000-0005-0000-0000-0000E2410000}"/>
    <cellStyle name="40% - Accent4 2 2 8" xfId="10452" xr:uid="{00000000-0005-0000-0000-0000E3410000}"/>
    <cellStyle name="40% - Accent4 2 2 9" xfId="18407" xr:uid="{00000000-0005-0000-0000-0000E4410000}"/>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3" xfId="24572" xr:uid="{00000000-0005-0000-0000-0000EB410000}"/>
    <cellStyle name="40% - Accent4 2 3 2 2 3" xfId="13088" xr:uid="{00000000-0005-0000-0000-0000EC410000}"/>
    <cellStyle name="40% - Accent4 2 3 2 2 4" xfId="21043" xr:uid="{00000000-0005-0000-0000-0000ED410000}"/>
    <cellStyle name="40% - Accent4 2 3 2 3" xfId="6896" xr:uid="{00000000-0005-0000-0000-0000EE410000}"/>
    <cellStyle name="40% - Accent4 2 3 2 3 2" xfId="14868" xr:uid="{00000000-0005-0000-0000-0000EF410000}"/>
    <cellStyle name="40% - Accent4 2 3 2 3 3" xfId="22815" xr:uid="{00000000-0005-0000-0000-0000F0410000}"/>
    <cellStyle name="40% - Accent4 2 3 2 4" xfId="11332" xr:uid="{00000000-0005-0000-0000-0000F1410000}"/>
    <cellStyle name="40% - Accent4 2 3 2 5" xfId="19287" xr:uid="{00000000-0005-0000-0000-0000F2410000}"/>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3" xfId="23694" xr:uid="{00000000-0005-0000-0000-0000F7410000}"/>
    <cellStyle name="40% - Accent4 2 3 3 3" xfId="12210" xr:uid="{00000000-0005-0000-0000-0000F8410000}"/>
    <cellStyle name="40% - Accent4 2 3 3 4" xfId="20165" xr:uid="{00000000-0005-0000-0000-0000F9410000}"/>
    <cellStyle name="40% - Accent4 2 3 4" xfId="6005" xr:uid="{00000000-0005-0000-0000-0000FA410000}"/>
    <cellStyle name="40% - Accent4 2 3 4 2" xfId="13989" xr:uid="{00000000-0005-0000-0000-0000FB410000}"/>
    <cellStyle name="40% - Accent4 2 3 4 3" xfId="21937" xr:uid="{00000000-0005-0000-0000-0000FC410000}"/>
    <cellStyle name="40% - Accent4 2 3 5" xfId="9558" xr:uid="{00000000-0005-0000-0000-0000FD410000}"/>
    <cellStyle name="40% - Accent4 2 3 5 2" xfId="17516" xr:uid="{00000000-0005-0000-0000-0000FE410000}"/>
    <cellStyle name="40% - Accent4 2 3 5 3" xfId="25460" xr:uid="{00000000-0005-0000-0000-0000FF410000}"/>
    <cellStyle name="40% - Accent4 2 3 6" xfId="10454" xr:uid="{00000000-0005-0000-0000-000000420000}"/>
    <cellStyle name="40% - Accent4 2 3 7" xfId="18409" xr:uid="{00000000-0005-0000-0000-000001420000}"/>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3" xfId="24915" xr:uid="{00000000-0005-0000-0000-000008420000}"/>
    <cellStyle name="40% - Accent4 2 4 2 2 3" xfId="13431" xr:uid="{00000000-0005-0000-0000-000009420000}"/>
    <cellStyle name="40% - Accent4 2 4 2 2 4" xfId="21386" xr:uid="{00000000-0005-0000-0000-00000A420000}"/>
    <cellStyle name="40% - Accent4 2 4 2 3" xfId="7239" xr:uid="{00000000-0005-0000-0000-00000B420000}"/>
    <cellStyle name="40% - Accent4 2 4 2 3 2" xfId="15211" xr:uid="{00000000-0005-0000-0000-00000C420000}"/>
    <cellStyle name="40% - Accent4 2 4 2 3 3" xfId="23158" xr:uid="{00000000-0005-0000-0000-00000D420000}"/>
    <cellStyle name="40% - Accent4 2 4 2 4" xfId="11675" xr:uid="{00000000-0005-0000-0000-00000E420000}"/>
    <cellStyle name="40% - Accent4 2 4 2 5" xfId="19630" xr:uid="{00000000-0005-0000-0000-00000F420000}"/>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3" xfId="24037" xr:uid="{00000000-0005-0000-0000-000014420000}"/>
    <cellStyle name="40% - Accent4 2 4 3 3" xfId="12553" xr:uid="{00000000-0005-0000-0000-000015420000}"/>
    <cellStyle name="40% - Accent4 2 4 3 4" xfId="20508" xr:uid="{00000000-0005-0000-0000-000016420000}"/>
    <cellStyle name="40% - Accent4 2 4 4" xfId="6358" xr:uid="{00000000-0005-0000-0000-000017420000}"/>
    <cellStyle name="40% - Accent4 2 4 4 2" xfId="14333" xr:uid="{00000000-0005-0000-0000-000018420000}"/>
    <cellStyle name="40% - Accent4 2 4 4 3" xfId="22280" xr:uid="{00000000-0005-0000-0000-000019420000}"/>
    <cellStyle name="40% - Accent4 2 4 5" xfId="9901" xr:uid="{00000000-0005-0000-0000-00001A420000}"/>
    <cellStyle name="40% - Accent4 2 4 5 2" xfId="17859" xr:uid="{00000000-0005-0000-0000-00001B420000}"/>
    <cellStyle name="40% - Accent4 2 4 5 3" xfId="25803" xr:uid="{00000000-0005-0000-0000-00001C420000}"/>
    <cellStyle name="40% - Accent4 2 4 6" xfId="10797" xr:uid="{00000000-0005-0000-0000-00001D420000}"/>
    <cellStyle name="40% - Accent4 2 4 7" xfId="18752" xr:uid="{00000000-0005-0000-0000-00001E420000}"/>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3" xfId="24569" xr:uid="{00000000-0005-0000-0000-000024420000}"/>
    <cellStyle name="40% - Accent4 2 5 2 3" xfId="13085" xr:uid="{00000000-0005-0000-0000-000025420000}"/>
    <cellStyle name="40% - Accent4 2 5 2 4" xfId="21040" xr:uid="{00000000-0005-0000-0000-000026420000}"/>
    <cellStyle name="40% - Accent4 2 5 3" xfId="6893" xr:uid="{00000000-0005-0000-0000-000027420000}"/>
    <cellStyle name="40% - Accent4 2 5 3 2" xfId="14865" xr:uid="{00000000-0005-0000-0000-000028420000}"/>
    <cellStyle name="40% - Accent4 2 5 3 3" xfId="22812" xr:uid="{00000000-0005-0000-0000-000029420000}"/>
    <cellStyle name="40% - Accent4 2 5 4" xfId="11329" xr:uid="{00000000-0005-0000-0000-00002A420000}"/>
    <cellStyle name="40% - Accent4 2 5 5" xfId="19284" xr:uid="{00000000-0005-0000-0000-00002B420000}"/>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3" xfId="23691" xr:uid="{00000000-0005-0000-0000-000030420000}"/>
    <cellStyle name="40% - Accent4 2 6 3" xfId="12207" xr:uid="{00000000-0005-0000-0000-000031420000}"/>
    <cellStyle name="40% - Accent4 2 6 4" xfId="20162" xr:uid="{00000000-0005-0000-0000-000032420000}"/>
    <cellStyle name="40% - Accent4 2 7" xfId="6002" xr:uid="{00000000-0005-0000-0000-000033420000}"/>
    <cellStyle name="40% - Accent4 2 7 2" xfId="13986" xr:uid="{00000000-0005-0000-0000-000034420000}"/>
    <cellStyle name="40% - Accent4 2 7 3" xfId="21934" xr:uid="{00000000-0005-0000-0000-000035420000}"/>
    <cellStyle name="40% - Accent4 2 8" xfId="9555" xr:uid="{00000000-0005-0000-0000-000036420000}"/>
    <cellStyle name="40% - Accent4 2 8 2" xfId="17513" xr:uid="{00000000-0005-0000-0000-000037420000}"/>
    <cellStyle name="40% - Accent4 2 8 3" xfId="25457" xr:uid="{00000000-0005-0000-0000-000038420000}"/>
    <cellStyle name="40% - Accent4 2 9" xfId="10451" xr:uid="{00000000-0005-0000-0000-000039420000}"/>
    <cellStyle name="40% - Accent4 2_Exh G" xfId="3097" xr:uid="{00000000-0005-0000-0000-00003A420000}"/>
    <cellStyle name="40% - Accent4 3" xfId="507" xr:uid="{00000000-0005-0000-0000-00003B420000}"/>
    <cellStyle name="40% - Accent4 3 10" xfId="18410" xr:uid="{00000000-0005-0000-0000-00003C420000}"/>
    <cellStyle name="40% - Accent4 3 2" xfId="508" xr:uid="{00000000-0005-0000-0000-00003D420000}"/>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3" xfId="24575" xr:uid="{00000000-0005-0000-0000-000043420000}"/>
    <cellStyle name="40% - Accent4 3 2 2 2 2 3" xfId="13091" xr:uid="{00000000-0005-0000-0000-000044420000}"/>
    <cellStyle name="40% - Accent4 3 2 2 2 2 4" xfId="21046" xr:uid="{00000000-0005-0000-0000-000045420000}"/>
    <cellStyle name="40% - Accent4 3 2 2 2 3" xfId="6899" xr:uid="{00000000-0005-0000-0000-000046420000}"/>
    <cellStyle name="40% - Accent4 3 2 2 2 3 2" xfId="14871" xr:uid="{00000000-0005-0000-0000-000047420000}"/>
    <cellStyle name="40% - Accent4 3 2 2 2 3 3" xfId="22818" xr:uid="{00000000-0005-0000-0000-000048420000}"/>
    <cellStyle name="40% - Accent4 3 2 2 2 4" xfId="11335" xr:uid="{00000000-0005-0000-0000-000049420000}"/>
    <cellStyle name="40% - Accent4 3 2 2 2 5" xfId="19290" xr:uid="{00000000-0005-0000-0000-00004A420000}"/>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3" xfId="23697" xr:uid="{00000000-0005-0000-0000-00004F420000}"/>
    <cellStyle name="40% - Accent4 3 2 2 3 3" xfId="12213" xr:uid="{00000000-0005-0000-0000-000050420000}"/>
    <cellStyle name="40% - Accent4 3 2 2 3 4" xfId="20168" xr:uid="{00000000-0005-0000-0000-000051420000}"/>
    <cellStyle name="40% - Accent4 3 2 2 4" xfId="6008" xr:uid="{00000000-0005-0000-0000-000052420000}"/>
    <cellStyle name="40% - Accent4 3 2 2 4 2" xfId="13992" xr:uid="{00000000-0005-0000-0000-000053420000}"/>
    <cellStyle name="40% - Accent4 3 2 2 4 3" xfId="21940" xr:uid="{00000000-0005-0000-0000-000054420000}"/>
    <cellStyle name="40% - Accent4 3 2 2 5" xfId="9561" xr:uid="{00000000-0005-0000-0000-000055420000}"/>
    <cellStyle name="40% - Accent4 3 2 2 5 2" xfId="17519" xr:uid="{00000000-0005-0000-0000-000056420000}"/>
    <cellStyle name="40% - Accent4 3 2 2 5 3" xfId="25463" xr:uid="{00000000-0005-0000-0000-000057420000}"/>
    <cellStyle name="40% - Accent4 3 2 2 6" xfId="10457" xr:uid="{00000000-0005-0000-0000-000058420000}"/>
    <cellStyle name="40% - Accent4 3 2 2 7" xfId="18412" xr:uid="{00000000-0005-0000-0000-000059420000}"/>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3" xfId="24918" xr:uid="{00000000-0005-0000-0000-000060420000}"/>
    <cellStyle name="40% - Accent4 3 2 3 2 2 3" xfId="13434" xr:uid="{00000000-0005-0000-0000-000061420000}"/>
    <cellStyle name="40% - Accent4 3 2 3 2 2 4" xfId="21389" xr:uid="{00000000-0005-0000-0000-000062420000}"/>
    <cellStyle name="40% - Accent4 3 2 3 2 3" xfId="7242" xr:uid="{00000000-0005-0000-0000-000063420000}"/>
    <cellStyle name="40% - Accent4 3 2 3 2 3 2" xfId="15214" xr:uid="{00000000-0005-0000-0000-000064420000}"/>
    <cellStyle name="40% - Accent4 3 2 3 2 3 3" xfId="23161" xr:uid="{00000000-0005-0000-0000-000065420000}"/>
    <cellStyle name="40% - Accent4 3 2 3 2 4" xfId="11678" xr:uid="{00000000-0005-0000-0000-000066420000}"/>
    <cellStyle name="40% - Accent4 3 2 3 2 5" xfId="19633" xr:uid="{00000000-0005-0000-0000-000067420000}"/>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3" xfId="24040" xr:uid="{00000000-0005-0000-0000-00006C420000}"/>
    <cellStyle name="40% - Accent4 3 2 3 3 3" xfId="12556" xr:uid="{00000000-0005-0000-0000-00006D420000}"/>
    <cellStyle name="40% - Accent4 3 2 3 3 4" xfId="20511" xr:uid="{00000000-0005-0000-0000-00006E420000}"/>
    <cellStyle name="40% - Accent4 3 2 3 4" xfId="6361" xr:uid="{00000000-0005-0000-0000-00006F420000}"/>
    <cellStyle name="40% - Accent4 3 2 3 4 2" xfId="14336" xr:uid="{00000000-0005-0000-0000-000070420000}"/>
    <cellStyle name="40% - Accent4 3 2 3 4 3" xfId="22283" xr:uid="{00000000-0005-0000-0000-000071420000}"/>
    <cellStyle name="40% - Accent4 3 2 3 5" xfId="9904" xr:uid="{00000000-0005-0000-0000-000072420000}"/>
    <cellStyle name="40% - Accent4 3 2 3 5 2" xfId="17862" xr:uid="{00000000-0005-0000-0000-000073420000}"/>
    <cellStyle name="40% - Accent4 3 2 3 5 3" xfId="25806" xr:uid="{00000000-0005-0000-0000-000074420000}"/>
    <cellStyle name="40% - Accent4 3 2 3 6" xfId="10800" xr:uid="{00000000-0005-0000-0000-000075420000}"/>
    <cellStyle name="40% - Accent4 3 2 3 7" xfId="18755" xr:uid="{00000000-0005-0000-0000-000076420000}"/>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3" xfId="24574" xr:uid="{00000000-0005-0000-0000-00007C420000}"/>
    <cellStyle name="40% - Accent4 3 2 4 2 3" xfId="13090" xr:uid="{00000000-0005-0000-0000-00007D420000}"/>
    <cellStyle name="40% - Accent4 3 2 4 2 4" xfId="21045" xr:uid="{00000000-0005-0000-0000-00007E420000}"/>
    <cellStyle name="40% - Accent4 3 2 4 3" xfId="6898" xr:uid="{00000000-0005-0000-0000-00007F420000}"/>
    <cellStyle name="40% - Accent4 3 2 4 3 2" xfId="14870" xr:uid="{00000000-0005-0000-0000-000080420000}"/>
    <cellStyle name="40% - Accent4 3 2 4 3 3" xfId="22817" xr:uid="{00000000-0005-0000-0000-000081420000}"/>
    <cellStyle name="40% - Accent4 3 2 4 4" xfId="11334" xr:uid="{00000000-0005-0000-0000-000082420000}"/>
    <cellStyle name="40% - Accent4 3 2 4 5" xfId="19289" xr:uid="{00000000-0005-0000-0000-00008342000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3" xfId="23696" xr:uid="{00000000-0005-0000-0000-000088420000}"/>
    <cellStyle name="40% - Accent4 3 2 5 3" xfId="12212" xr:uid="{00000000-0005-0000-0000-000089420000}"/>
    <cellStyle name="40% - Accent4 3 2 5 4" xfId="20167" xr:uid="{00000000-0005-0000-0000-00008A420000}"/>
    <cellStyle name="40% - Accent4 3 2 6" xfId="6007" xr:uid="{00000000-0005-0000-0000-00008B420000}"/>
    <cellStyle name="40% - Accent4 3 2 6 2" xfId="13991" xr:uid="{00000000-0005-0000-0000-00008C420000}"/>
    <cellStyle name="40% - Accent4 3 2 6 3" xfId="21939" xr:uid="{00000000-0005-0000-0000-00008D420000}"/>
    <cellStyle name="40% - Accent4 3 2 7" xfId="9560" xr:uid="{00000000-0005-0000-0000-00008E420000}"/>
    <cellStyle name="40% - Accent4 3 2 7 2" xfId="17518" xr:uid="{00000000-0005-0000-0000-00008F420000}"/>
    <cellStyle name="40% - Accent4 3 2 7 3" xfId="25462" xr:uid="{00000000-0005-0000-0000-000090420000}"/>
    <cellStyle name="40% - Accent4 3 2 8" xfId="10456" xr:uid="{00000000-0005-0000-0000-000091420000}"/>
    <cellStyle name="40% - Accent4 3 2 9" xfId="18411" xr:uid="{00000000-0005-0000-0000-000092420000}"/>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3" xfId="24576" xr:uid="{00000000-0005-0000-0000-000099420000}"/>
    <cellStyle name="40% - Accent4 3 3 2 2 3" xfId="13092" xr:uid="{00000000-0005-0000-0000-00009A420000}"/>
    <cellStyle name="40% - Accent4 3 3 2 2 4" xfId="21047" xr:uid="{00000000-0005-0000-0000-00009B420000}"/>
    <cellStyle name="40% - Accent4 3 3 2 3" xfId="6900" xr:uid="{00000000-0005-0000-0000-00009C420000}"/>
    <cellStyle name="40% - Accent4 3 3 2 3 2" xfId="14872" xr:uid="{00000000-0005-0000-0000-00009D420000}"/>
    <cellStyle name="40% - Accent4 3 3 2 3 3" xfId="22819" xr:uid="{00000000-0005-0000-0000-00009E420000}"/>
    <cellStyle name="40% - Accent4 3 3 2 4" xfId="11336" xr:uid="{00000000-0005-0000-0000-00009F420000}"/>
    <cellStyle name="40% - Accent4 3 3 2 5" xfId="19291" xr:uid="{00000000-0005-0000-0000-0000A0420000}"/>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3" xfId="23698" xr:uid="{00000000-0005-0000-0000-0000A5420000}"/>
    <cellStyle name="40% - Accent4 3 3 3 3" xfId="12214" xr:uid="{00000000-0005-0000-0000-0000A6420000}"/>
    <cellStyle name="40% - Accent4 3 3 3 4" xfId="20169" xr:uid="{00000000-0005-0000-0000-0000A7420000}"/>
    <cellStyle name="40% - Accent4 3 3 4" xfId="6009" xr:uid="{00000000-0005-0000-0000-0000A8420000}"/>
    <cellStyle name="40% - Accent4 3 3 4 2" xfId="13993" xr:uid="{00000000-0005-0000-0000-0000A9420000}"/>
    <cellStyle name="40% - Accent4 3 3 4 3" xfId="21941" xr:uid="{00000000-0005-0000-0000-0000AA420000}"/>
    <cellStyle name="40% - Accent4 3 3 5" xfId="9562" xr:uid="{00000000-0005-0000-0000-0000AB420000}"/>
    <cellStyle name="40% - Accent4 3 3 5 2" xfId="17520" xr:uid="{00000000-0005-0000-0000-0000AC420000}"/>
    <cellStyle name="40% - Accent4 3 3 5 3" xfId="25464" xr:uid="{00000000-0005-0000-0000-0000AD420000}"/>
    <cellStyle name="40% - Accent4 3 3 6" xfId="10458" xr:uid="{00000000-0005-0000-0000-0000AE420000}"/>
    <cellStyle name="40% - Accent4 3 3 7" xfId="18413" xr:uid="{00000000-0005-0000-0000-0000AF420000}"/>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3" xfId="24917" xr:uid="{00000000-0005-0000-0000-0000B6420000}"/>
    <cellStyle name="40% - Accent4 3 4 2 2 3" xfId="13433" xr:uid="{00000000-0005-0000-0000-0000B7420000}"/>
    <cellStyle name="40% - Accent4 3 4 2 2 4" xfId="21388" xr:uid="{00000000-0005-0000-0000-0000B8420000}"/>
    <cellStyle name="40% - Accent4 3 4 2 3" xfId="7241" xr:uid="{00000000-0005-0000-0000-0000B9420000}"/>
    <cellStyle name="40% - Accent4 3 4 2 3 2" xfId="15213" xr:uid="{00000000-0005-0000-0000-0000BA420000}"/>
    <cellStyle name="40% - Accent4 3 4 2 3 3" xfId="23160" xr:uid="{00000000-0005-0000-0000-0000BB420000}"/>
    <cellStyle name="40% - Accent4 3 4 2 4" xfId="11677" xr:uid="{00000000-0005-0000-0000-0000BC420000}"/>
    <cellStyle name="40% - Accent4 3 4 2 5" xfId="19632" xr:uid="{00000000-0005-0000-0000-0000BD42000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3" xfId="24039" xr:uid="{00000000-0005-0000-0000-0000C2420000}"/>
    <cellStyle name="40% - Accent4 3 4 3 3" xfId="12555" xr:uid="{00000000-0005-0000-0000-0000C3420000}"/>
    <cellStyle name="40% - Accent4 3 4 3 4" xfId="20510" xr:uid="{00000000-0005-0000-0000-0000C4420000}"/>
    <cellStyle name="40% - Accent4 3 4 4" xfId="6360" xr:uid="{00000000-0005-0000-0000-0000C5420000}"/>
    <cellStyle name="40% - Accent4 3 4 4 2" xfId="14335" xr:uid="{00000000-0005-0000-0000-0000C6420000}"/>
    <cellStyle name="40% - Accent4 3 4 4 3" xfId="22282" xr:uid="{00000000-0005-0000-0000-0000C7420000}"/>
    <cellStyle name="40% - Accent4 3 4 5" xfId="9903" xr:uid="{00000000-0005-0000-0000-0000C8420000}"/>
    <cellStyle name="40% - Accent4 3 4 5 2" xfId="17861" xr:uid="{00000000-0005-0000-0000-0000C9420000}"/>
    <cellStyle name="40% - Accent4 3 4 5 3" xfId="25805" xr:uid="{00000000-0005-0000-0000-0000CA420000}"/>
    <cellStyle name="40% - Accent4 3 4 6" xfId="10799" xr:uid="{00000000-0005-0000-0000-0000CB420000}"/>
    <cellStyle name="40% - Accent4 3 4 7" xfId="18754" xr:uid="{00000000-0005-0000-0000-0000CC420000}"/>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3" xfId="24573" xr:uid="{00000000-0005-0000-0000-0000D2420000}"/>
    <cellStyle name="40% - Accent4 3 5 2 3" xfId="13089" xr:uid="{00000000-0005-0000-0000-0000D3420000}"/>
    <cellStyle name="40% - Accent4 3 5 2 4" xfId="21044" xr:uid="{00000000-0005-0000-0000-0000D4420000}"/>
    <cellStyle name="40% - Accent4 3 5 3" xfId="6897" xr:uid="{00000000-0005-0000-0000-0000D5420000}"/>
    <cellStyle name="40% - Accent4 3 5 3 2" xfId="14869" xr:uid="{00000000-0005-0000-0000-0000D6420000}"/>
    <cellStyle name="40% - Accent4 3 5 3 3" xfId="22816" xr:uid="{00000000-0005-0000-0000-0000D7420000}"/>
    <cellStyle name="40% - Accent4 3 5 4" xfId="11333" xr:uid="{00000000-0005-0000-0000-0000D8420000}"/>
    <cellStyle name="40% - Accent4 3 5 5" xfId="19288" xr:uid="{00000000-0005-0000-0000-0000D9420000}"/>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3" xfId="23695" xr:uid="{00000000-0005-0000-0000-0000DE420000}"/>
    <cellStyle name="40% - Accent4 3 6 3" xfId="12211" xr:uid="{00000000-0005-0000-0000-0000DF420000}"/>
    <cellStyle name="40% - Accent4 3 6 4" xfId="20166" xr:uid="{00000000-0005-0000-0000-0000E0420000}"/>
    <cellStyle name="40% - Accent4 3 7" xfId="6006" xr:uid="{00000000-0005-0000-0000-0000E1420000}"/>
    <cellStyle name="40% - Accent4 3 7 2" xfId="13990" xr:uid="{00000000-0005-0000-0000-0000E2420000}"/>
    <cellStyle name="40% - Accent4 3 7 3" xfId="21938" xr:uid="{00000000-0005-0000-0000-0000E3420000}"/>
    <cellStyle name="40% - Accent4 3 8" xfId="9559" xr:uid="{00000000-0005-0000-0000-0000E4420000}"/>
    <cellStyle name="40% - Accent4 3 8 2" xfId="17517" xr:uid="{00000000-0005-0000-0000-0000E5420000}"/>
    <cellStyle name="40% - Accent4 3 8 3" xfId="25461" xr:uid="{00000000-0005-0000-0000-0000E6420000}"/>
    <cellStyle name="40% - Accent4 3 9" xfId="10455" xr:uid="{00000000-0005-0000-0000-0000E7420000}"/>
    <cellStyle name="40% - Accent4 3_Exh G" xfId="3109" xr:uid="{00000000-0005-0000-0000-0000E8420000}"/>
    <cellStyle name="40% - Accent4 4" xfId="511" xr:uid="{00000000-0005-0000-0000-0000E9420000}"/>
    <cellStyle name="40% - Accent4 4 10" xfId="18414" xr:uid="{00000000-0005-0000-0000-0000EA420000}"/>
    <cellStyle name="40% - Accent4 4 2" xfId="512" xr:uid="{00000000-0005-0000-0000-0000EB420000}"/>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3" xfId="24579" xr:uid="{00000000-0005-0000-0000-0000F1420000}"/>
    <cellStyle name="40% - Accent4 4 2 2 2 2 3" xfId="13095" xr:uid="{00000000-0005-0000-0000-0000F2420000}"/>
    <cellStyle name="40% - Accent4 4 2 2 2 2 4" xfId="21050" xr:uid="{00000000-0005-0000-0000-0000F3420000}"/>
    <cellStyle name="40% - Accent4 4 2 2 2 3" xfId="6903" xr:uid="{00000000-0005-0000-0000-0000F4420000}"/>
    <cellStyle name="40% - Accent4 4 2 2 2 3 2" xfId="14875" xr:uid="{00000000-0005-0000-0000-0000F5420000}"/>
    <cellStyle name="40% - Accent4 4 2 2 2 3 3" xfId="22822" xr:uid="{00000000-0005-0000-0000-0000F6420000}"/>
    <cellStyle name="40% - Accent4 4 2 2 2 4" xfId="11339" xr:uid="{00000000-0005-0000-0000-0000F7420000}"/>
    <cellStyle name="40% - Accent4 4 2 2 2 5" xfId="19294" xr:uid="{00000000-0005-0000-0000-0000F8420000}"/>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3" xfId="23701" xr:uid="{00000000-0005-0000-0000-0000FD420000}"/>
    <cellStyle name="40% - Accent4 4 2 2 3 3" xfId="12217" xr:uid="{00000000-0005-0000-0000-0000FE420000}"/>
    <cellStyle name="40% - Accent4 4 2 2 3 4" xfId="20172" xr:uid="{00000000-0005-0000-0000-0000FF420000}"/>
    <cellStyle name="40% - Accent4 4 2 2 4" xfId="6012" xr:uid="{00000000-0005-0000-0000-000000430000}"/>
    <cellStyle name="40% - Accent4 4 2 2 4 2" xfId="13996" xr:uid="{00000000-0005-0000-0000-000001430000}"/>
    <cellStyle name="40% - Accent4 4 2 2 4 3" xfId="21944" xr:uid="{00000000-0005-0000-0000-000002430000}"/>
    <cellStyle name="40% - Accent4 4 2 2 5" xfId="9565" xr:uid="{00000000-0005-0000-0000-000003430000}"/>
    <cellStyle name="40% - Accent4 4 2 2 5 2" xfId="17523" xr:uid="{00000000-0005-0000-0000-000004430000}"/>
    <cellStyle name="40% - Accent4 4 2 2 5 3" xfId="25467" xr:uid="{00000000-0005-0000-0000-000005430000}"/>
    <cellStyle name="40% - Accent4 4 2 2 6" xfId="10461" xr:uid="{00000000-0005-0000-0000-000006430000}"/>
    <cellStyle name="40% - Accent4 4 2 2 7" xfId="18416" xr:uid="{00000000-0005-0000-0000-000007430000}"/>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3" xfId="24920" xr:uid="{00000000-0005-0000-0000-00000E430000}"/>
    <cellStyle name="40% - Accent4 4 2 3 2 2 3" xfId="13436" xr:uid="{00000000-0005-0000-0000-00000F430000}"/>
    <cellStyle name="40% - Accent4 4 2 3 2 2 4" xfId="21391" xr:uid="{00000000-0005-0000-0000-000010430000}"/>
    <cellStyle name="40% - Accent4 4 2 3 2 3" xfId="7244" xr:uid="{00000000-0005-0000-0000-000011430000}"/>
    <cellStyle name="40% - Accent4 4 2 3 2 3 2" xfId="15216" xr:uid="{00000000-0005-0000-0000-000012430000}"/>
    <cellStyle name="40% - Accent4 4 2 3 2 3 3" xfId="23163" xr:uid="{00000000-0005-0000-0000-000013430000}"/>
    <cellStyle name="40% - Accent4 4 2 3 2 4" xfId="11680" xr:uid="{00000000-0005-0000-0000-000014430000}"/>
    <cellStyle name="40% - Accent4 4 2 3 2 5" xfId="19635" xr:uid="{00000000-0005-0000-0000-000015430000}"/>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3" xfId="24042" xr:uid="{00000000-0005-0000-0000-00001A430000}"/>
    <cellStyle name="40% - Accent4 4 2 3 3 3" xfId="12558" xr:uid="{00000000-0005-0000-0000-00001B430000}"/>
    <cellStyle name="40% - Accent4 4 2 3 3 4" xfId="20513" xr:uid="{00000000-0005-0000-0000-00001C430000}"/>
    <cellStyle name="40% - Accent4 4 2 3 4" xfId="6363" xr:uid="{00000000-0005-0000-0000-00001D430000}"/>
    <cellStyle name="40% - Accent4 4 2 3 4 2" xfId="14338" xr:uid="{00000000-0005-0000-0000-00001E430000}"/>
    <cellStyle name="40% - Accent4 4 2 3 4 3" xfId="22285" xr:uid="{00000000-0005-0000-0000-00001F430000}"/>
    <cellStyle name="40% - Accent4 4 2 3 5" xfId="9906" xr:uid="{00000000-0005-0000-0000-000020430000}"/>
    <cellStyle name="40% - Accent4 4 2 3 5 2" xfId="17864" xr:uid="{00000000-0005-0000-0000-000021430000}"/>
    <cellStyle name="40% - Accent4 4 2 3 5 3" xfId="25808" xr:uid="{00000000-0005-0000-0000-000022430000}"/>
    <cellStyle name="40% - Accent4 4 2 3 6" xfId="10802" xr:uid="{00000000-0005-0000-0000-000023430000}"/>
    <cellStyle name="40% - Accent4 4 2 3 7" xfId="18757" xr:uid="{00000000-0005-0000-0000-000024430000}"/>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3" xfId="24578" xr:uid="{00000000-0005-0000-0000-00002A430000}"/>
    <cellStyle name="40% - Accent4 4 2 4 2 3" xfId="13094" xr:uid="{00000000-0005-0000-0000-00002B430000}"/>
    <cellStyle name="40% - Accent4 4 2 4 2 4" xfId="21049" xr:uid="{00000000-0005-0000-0000-00002C430000}"/>
    <cellStyle name="40% - Accent4 4 2 4 3" xfId="6902" xr:uid="{00000000-0005-0000-0000-00002D430000}"/>
    <cellStyle name="40% - Accent4 4 2 4 3 2" xfId="14874" xr:uid="{00000000-0005-0000-0000-00002E430000}"/>
    <cellStyle name="40% - Accent4 4 2 4 3 3" xfId="22821" xr:uid="{00000000-0005-0000-0000-00002F430000}"/>
    <cellStyle name="40% - Accent4 4 2 4 4" xfId="11338" xr:uid="{00000000-0005-0000-0000-000030430000}"/>
    <cellStyle name="40% - Accent4 4 2 4 5" xfId="19293" xr:uid="{00000000-0005-0000-0000-000031430000}"/>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3" xfId="23700" xr:uid="{00000000-0005-0000-0000-000036430000}"/>
    <cellStyle name="40% - Accent4 4 2 5 3" xfId="12216" xr:uid="{00000000-0005-0000-0000-000037430000}"/>
    <cellStyle name="40% - Accent4 4 2 5 4" xfId="20171" xr:uid="{00000000-0005-0000-0000-000038430000}"/>
    <cellStyle name="40% - Accent4 4 2 6" xfId="6011" xr:uid="{00000000-0005-0000-0000-000039430000}"/>
    <cellStyle name="40% - Accent4 4 2 6 2" xfId="13995" xr:uid="{00000000-0005-0000-0000-00003A430000}"/>
    <cellStyle name="40% - Accent4 4 2 6 3" xfId="21943" xr:uid="{00000000-0005-0000-0000-00003B430000}"/>
    <cellStyle name="40% - Accent4 4 2 7" xfId="9564" xr:uid="{00000000-0005-0000-0000-00003C430000}"/>
    <cellStyle name="40% - Accent4 4 2 7 2" xfId="17522" xr:uid="{00000000-0005-0000-0000-00003D430000}"/>
    <cellStyle name="40% - Accent4 4 2 7 3" xfId="25466" xr:uid="{00000000-0005-0000-0000-00003E430000}"/>
    <cellStyle name="40% - Accent4 4 2 8" xfId="10460" xr:uid="{00000000-0005-0000-0000-00003F430000}"/>
    <cellStyle name="40% - Accent4 4 2 9" xfId="18415" xr:uid="{00000000-0005-0000-0000-000040430000}"/>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3" xfId="24580" xr:uid="{00000000-0005-0000-0000-000047430000}"/>
    <cellStyle name="40% - Accent4 4 3 2 2 3" xfId="13096" xr:uid="{00000000-0005-0000-0000-000048430000}"/>
    <cellStyle name="40% - Accent4 4 3 2 2 4" xfId="21051" xr:uid="{00000000-0005-0000-0000-000049430000}"/>
    <cellStyle name="40% - Accent4 4 3 2 3" xfId="6904" xr:uid="{00000000-0005-0000-0000-00004A430000}"/>
    <cellStyle name="40% - Accent4 4 3 2 3 2" xfId="14876" xr:uid="{00000000-0005-0000-0000-00004B430000}"/>
    <cellStyle name="40% - Accent4 4 3 2 3 3" xfId="22823" xr:uid="{00000000-0005-0000-0000-00004C430000}"/>
    <cellStyle name="40% - Accent4 4 3 2 4" xfId="11340" xr:uid="{00000000-0005-0000-0000-00004D430000}"/>
    <cellStyle name="40% - Accent4 4 3 2 5" xfId="19295" xr:uid="{00000000-0005-0000-0000-00004E430000}"/>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3" xfId="23702" xr:uid="{00000000-0005-0000-0000-000053430000}"/>
    <cellStyle name="40% - Accent4 4 3 3 3" xfId="12218" xr:uid="{00000000-0005-0000-0000-000054430000}"/>
    <cellStyle name="40% - Accent4 4 3 3 4" xfId="20173" xr:uid="{00000000-0005-0000-0000-000055430000}"/>
    <cellStyle name="40% - Accent4 4 3 4" xfId="6013" xr:uid="{00000000-0005-0000-0000-000056430000}"/>
    <cellStyle name="40% - Accent4 4 3 4 2" xfId="13997" xr:uid="{00000000-0005-0000-0000-000057430000}"/>
    <cellStyle name="40% - Accent4 4 3 4 3" xfId="21945" xr:uid="{00000000-0005-0000-0000-000058430000}"/>
    <cellStyle name="40% - Accent4 4 3 5" xfId="9566" xr:uid="{00000000-0005-0000-0000-000059430000}"/>
    <cellStyle name="40% - Accent4 4 3 5 2" xfId="17524" xr:uid="{00000000-0005-0000-0000-00005A430000}"/>
    <cellStyle name="40% - Accent4 4 3 5 3" xfId="25468" xr:uid="{00000000-0005-0000-0000-00005B430000}"/>
    <cellStyle name="40% - Accent4 4 3 6" xfId="10462" xr:uid="{00000000-0005-0000-0000-00005C430000}"/>
    <cellStyle name="40% - Accent4 4 3 7" xfId="18417" xr:uid="{00000000-0005-0000-0000-00005D430000}"/>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3" xfId="24919" xr:uid="{00000000-0005-0000-0000-000064430000}"/>
    <cellStyle name="40% - Accent4 4 4 2 2 3" xfId="13435" xr:uid="{00000000-0005-0000-0000-000065430000}"/>
    <cellStyle name="40% - Accent4 4 4 2 2 4" xfId="21390" xr:uid="{00000000-0005-0000-0000-000066430000}"/>
    <cellStyle name="40% - Accent4 4 4 2 3" xfId="7243" xr:uid="{00000000-0005-0000-0000-000067430000}"/>
    <cellStyle name="40% - Accent4 4 4 2 3 2" xfId="15215" xr:uid="{00000000-0005-0000-0000-000068430000}"/>
    <cellStyle name="40% - Accent4 4 4 2 3 3" xfId="23162" xr:uid="{00000000-0005-0000-0000-000069430000}"/>
    <cellStyle name="40% - Accent4 4 4 2 4" xfId="11679" xr:uid="{00000000-0005-0000-0000-00006A430000}"/>
    <cellStyle name="40% - Accent4 4 4 2 5" xfId="19634" xr:uid="{00000000-0005-0000-0000-00006B430000}"/>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3" xfId="24041" xr:uid="{00000000-0005-0000-0000-000070430000}"/>
    <cellStyle name="40% - Accent4 4 4 3 3" xfId="12557" xr:uid="{00000000-0005-0000-0000-000071430000}"/>
    <cellStyle name="40% - Accent4 4 4 3 4" xfId="20512" xr:uid="{00000000-0005-0000-0000-000072430000}"/>
    <cellStyle name="40% - Accent4 4 4 4" xfId="6362" xr:uid="{00000000-0005-0000-0000-000073430000}"/>
    <cellStyle name="40% - Accent4 4 4 4 2" xfId="14337" xr:uid="{00000000-0005-0000-0000-000074430000}"/>
    <cellStyle name="40% - Accent4 4 4 4 3" xfId="22284" xr:uid="{00000000-0005-0000-0000-000075430000}"/>
    <cellStyle name="40% - Accent4 4 4 5" xfId="9905" xr:uid="{00000000-0005-0000-0000-000076430000}"/>
    <cellStyle name="40% - Accent4 4 4 5 2" xfId="17863" xr:uid="{00000000-0005-0000-0000-000077430000}"/>
    <cellStyle name="40% - Accent4 4 4 5 3" xfId="25807" xr:uid="{00000000-0005-0000-0000-000078430000}"/>
    <cellStyle name="40% - Accent4 4 4 6" xfId="10801" xr:uid="{00000000-0005-0000-0000-000079430000}"/>
    <cellStyle name="40% - Accent4 4 4 7" xfId="18756" xr:uid="{00000000-0005-0000-0000-00007A430000}"/>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3" xfId="24577" xr:uid="{00000000-0005-0000-0000-000080430000}"/>
    <cellStyle name="40% - Accent4 4 5 2 3" xfId="13093" xr:uid="{00000000-0005-0000-0000-000081430000}"/>
    <cellStyle name="40% - Accent4 4 5 2 4" xfId="21048" xr:uid="{00000000-0005-0000-0000-000082430000}"/>
    <cellStyle name="40% - Accent4 4 5 3" xfId="6901" xr:uid="{00000000-0005-0000-0000-000083430000}"/>
    <cellStyle name="40% - Accent4 4 5 3 2" xfId="14873" xr:uid="{00000000-0005-0000-0000-000084430000}"/>
    <cellStyle name="40% - Accent4 4 5 3 3" xfId="22820" xr:uid="{00000000-0005-0000-0000-000085430000}"/>
    <cellStyle name="40% - Accent4 4 5 4" xfId="11337" xr:uid="{00000000-0005-0000-0000-000086430000}"/>
    <cellStyle name="40% - Accent4 4 5 5" xfId="19292" xr:uid="{00000000-0005-0000-0000-000087430000}"/>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3" xfId="23699" xr:uid="{00000000-0005-0000-0000-00008C430000}"/>
    <cellStyle name="40% - Accent4 4 6 3" xfId="12215" xr:uid="{00000000-0005-0000-0000-00008D430000}"/>
    <cellStyle name="40% - Accent4 4 6 4" xfId="20170" xr:uid="{00000000-0005-0000-0000-00008E430000}"/>
    <cellStyle name="40% - Accent4 4 7" xfId="6010" xr:uid="{00000000-0005-0000-0000-00008F430000}"/>
    <cellStyle name="40% - Accent4 4 7 2" xfId="13994" xr:uid="{00000000-0005-0000-0000-000090430000}"/>
    <cellStyle name="40% - Accent4 4 7 3" xfId="21942" xr:uid="{00000000-0005-0000-0000-000091430000}"/>
    <cellStyle name="40% - Accent4 4 8" xfId="9563" xr:uid="{00000000-0005-0000-0000-000092430000}"/>
    <cellStyle name="40% - Accent4 4 8 2" xfId="17521" xr:uid="{00000000-0005-0000-0000-000093430000}"/>
    <cellStyle name="40% - Accent4 4 8 3" xfId="25465" xr:uid="{00000000-0005-0000-0000-000094430000}"/>
    <cellStyle name="40% - Accent4 4 9" xfId="10459" xr:uid="{00000000-0005-0000-0000-000095430000}"/>
    <cellStyle name="40% - Accent4 4_Exh G" xfId="3121" xr:uid="{00000000-0005-0000-0000-000096430000}"/>
    <cellStyle name="40% - Accent4 5" xfId="515" xr:uid="{00000000-0005-0000-0000-000097430000}"/>
    <cellStyle name="40% - Accent4 5 10" xfId="18418" xr:uid="{00000000-0005-0000-0000-000098430000}"/>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3" xfId="24583" xr:uid="{00000000-0005-0000-0000-00009F430000}"/>
    <cellStyle name="40% - Accent4 5 2 2 2 2 3" xfId="13099" xr:uid="{00000000-0005-0000-0000-0000A0430000}"/>
    <cellStyle name="40% - Accent4 5 2 2 2 2 4" xfId="21054" xr:uid="{00000000-0005-0000-0000-0000A1430000}"/>
    <cellStyle name="40% - Accent4 5 2 2 2 3" xfId="6907" xr:uid="{00000000-0005-0000-0000-0000A2430000}"/>
    <cellStyle name="40% - Accent4 5 2 2 2 3 2" xfId="14879" xr:uid="{00000000-0005-0000-0000-0000A3430000}"/>
    <cellStyle name="40% - Accent4 5 2 2 2 3 3" xfId="22826" xr:uid="{00000000-0005-0000-0000-0000A4430000}"/>
    <cellStyle name="40% - Accent4 5 2 2 2 4" xfId="11343" xr:uid="{00000000-0005-0000-0000-0000A5430000}"/>
    <cellStyle name="40% - Accent4 5 2 2 2 5" xfId="19298" xr:uid="{00000000-0005-0000-0000-0000A6430000}"/>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3" xfId="23705" xr:uid="{00000000-0005-0000-0000-0000AB430000}"/>
    <cellStyle name="40% - Accent4 5 2 2 3 3" xfId="12221" xr:uid="{00000000-0005-0000-0000-0000AC430000}"/>
    <cellStyle name="40% - Accent4 5 2 2 3 4" xfId="20176" xr:uid="{00000000-0005-0000-0000-0000AD430000}"/>
    <cellStyle name="40% - Accent4 5 2 2 4" xfId="6016" xr:uid="{00000000-0005-0000-0000-0000AE430000}"/>
    <cellStyle name="40% - Accent4 5 2 2 4 2" xfId="14000" xr:uid="{00000000-0005-0000-0000-0000AF430000}"/>
    <cellStyle name="40% - Accent4 5 2 2 4 3" xfId="21948" xr:uid="{00000000-0005-0000-0000-0000B0430000}"/>
    <cellStyle name="40% - Accent4 5 2 2 5" xfId="9569" xr:uid="{00000000-0005-0000-0000-0000B1430000}"/>
    <cellStyle name="40% - Accent4 5 2 2 5 2" xfId="17527" xr:uid="{00000000-0005-0000-0000-0000B2430000}"/>
    <cellStyle name="40% - Accent4 5 2 2 5 3" xfId="25471" xr:uid="{00000000-0005-0000-0000-0000B3430000}"/>
    <cellStyle name="40% - Accent4 5 2 2 6" xfId="10465" xr:uid="{00000000-0005-0000-0000-0000B4430000}"/>
    <cellStyle name="40% - Accent4 5 2 2 7" xfId="18420" xr:uid="{00000000-0005-0000-0000-0000B5430000}"/>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3" xfId="24582" xr:uid="{00000000-0005-0000-0000-0000BB430000}"/>
    <cellStyle name="40% - Accent4 5 2 3 2 3" xfId="13098" xr:uid="{00000000-0005-0000-0000-0000BC430000}"/>
    <cellStyle name="40% - Accent4 5 2 3 2 4" xfId="21053" xr:uid="{00000000-0005-0000-0000-0000BD430000}"/>
    <cellStyle name="40% - Accent4 5 2 3 3" xfId="6906" xr:uid="{00000000-0005-0000-0000-0000BE430000}"/>
    <cellStyle name="40% - Accent4 5 2 3 3 2" xfId="14878" xr:uid="{00000000-0005-0000-0000-0000BF430000}"/>
    <cellStyle name="40% - Accent4 5 2 3 3 3" xfId="22825" xr:uid="{00000000-0005-0000-0000-0000C0430000}"/>
    <cellStyle name="40% - Accent4 5 2 3 4" xfId="11342" xr:uid="{00000000-0005-0000-0000-0000C1430000}"/>
    <cellStyle name="40% - Accent4 5 2 3 5" xfId="19297" xr:uid="{00000000-0005-0000-0000-0000C2430000}"/>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3" xfId="23704" xr:uid="{00000000-0005-0000-0000-0000C7430000}"/>
    <cellStyle name="40% - Accent4 5 2 4 3" xfId="12220" xr:uid="{00000000-0005-0000-0000-0000C8430000}"/>
    <cellStyle name="40% - Accent4 5 2 4 4" xfId="20175" xr:uid="{00000000-0005-0000-0000-0000C9430000}"/>
    <cellStyle name="40% - Accent4 5 2 5" xfId="6015" xr:uid="{00000000-0005-0000-0000-0000CA430000}"/>
    <cellStyle name="40% - Accent4 5 2 5 2" xfId="13999" xr:uid="{00000000-0005-0000-0000-0000CB430000}"/>
    <cellStyle name="40% - Accent4 5 2 5 3" xfId="21947" xr:uid="{00000000-0005-0000-0000-0000CC430000}"/>
    <cellStyle name="40% - Accent4 5 2 6" xfId="9568" xr:uid="{00000000-0005-0000-0000-0000CD430000}"/>
    <cellStyle name="40% - Accent4 5 2 6 2" xfId="17526" xr:uid="{00000000-0005-0000-0000-0000CE430000}"/>
    <cellStyle name="40% - Accent4 5 2 6 3" xfId="25470" xr:uid="{00000000-0005-0000-0000-0000CF430000}"/>
    <cellStyle name="40% - Accent4 5 2 7" xfId="10464" xr:uid="{00000000-0005-0000-0000-0000D0430000}"/>
    <cellStyle name="40% - Accent4 5 2 8" xfId="18419" xr:uid="{00000000-0005-0000-0000-0000D143000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3" xfId="24584" xr:uid="{00000000-0005-0000-0000-0000D8430000}"/>
    <cellStyle name="40% - Accent4 5 3 2 2 3" xfId="13100" xr:uid="{00000000-0005-0000-0000-0000D9430000}"/>
    <cellStyle name="40% - Accent4 5 3 2 2 4" xfId="21055" xr:uid="{00000000-0005-0000-0000-0000DA430000}"/>
    <cellStyle name="40% - Accent4 5 3 2 3" xfId="6908" xr:uid="{00000000-0005-0000-0000-0000DB430000}"/>
    <cellStyle name="40% - Accent4 5 3 2 3 2" xfId="14880" xr:uid="{00000000-0005-0000-0000-0000DC430000}"/>
    <cellStyle name="40% - Accent4 5 3 2 3 3" xfId="22827" xr:uid="{00000000-0005-0000-0000-0000DD430000}"/>
    <cellStyle name="40% - Accent4 5 3 2 4" xfId="11344" xr:uid="{00000000-0005-0000-0000-0000DE430000}"/>
    <cellStyle name="40% - Accent4 5 3 2 5" xfId="19299" xr:uid="{00000000-0005-0000-0000-0000DF430000}"/>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3" xfId="23706" xr:uid="{00000000-0005-0000-0000-0000E4430000}"/>
    <cellStyle name="40% - Accent4 5 3 3 3" xfId="12222" xr:uid="{00000000-0005-0000-0000-0000E5430000}"/>
    <cellStyle name="40% - Accent4 5 3 3 4" xfId="20177" xr:uid="{00000000-0005-0000-0000-0000E6430000}"/>
    <cellStyle name="40% - Accent4 5 3 4" xfId="6017" xr:uid="{00000000-0005-0000-0000-0000E7430000}"/>
    <cellStyle name="40% - Accent4 5 3 4 2" xfId="14001" xr:uid="{00000000-0005-0000-0000-0000E8430000}"/>
    <cellStyle name="40% - Accent4 5 3 4 3" xfId="21949" xr:uid="{00000000-0005-0000-0000-0000E9430000}"/>
    <cellStyle name="40% - Accent4 5 3 5" xfId="9570" xr:uid="{00000000-0005-0000-0000-0000EA430000}"/>
    <cellStyle name="40% - Accent4 5 3 5 2" xfId="17528" xr:uid="{00000000-0005-0000-0000-0000EB430000}"/>
    <cellStyle name="40% - Accent4 5 3 5 3" xfId="25472" xr:uid="{00000000-0005-0000-0000-0000EC430000}"/>
    <cellStyle name="40% - Accent4 5 3 6" xfId="10466" xr:uid="{00000000-0005-0000-0000-0000ED430000}"/>
    <cellStyle name="40% - Accent4 5 3 7" xfId="18421" xr:uid="{00000000-0005-0000-0000-0000EE430000}"/>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3" xfId="24581" xr:uid="{00000000-0005-0000-0000-0000F5430000}"/>
    <cellStyle name="40% - Accent4 5 5 2 3" xfId="13097" xr:uid="{00000000-0005-0000-0000-0000F6430000}"/>
    <cellStyle name="40% - Accent4 5 5 2 4" xfId="21052" xr:uid="{00000000-0005-0000-0000-0000F7430000}"/>
    <cellStyle name="40% - Accent4 5 5 3" xfId="6905" xr:uid="{00000000-0005-0000-0000-0000F8430000}"/>
    <cellStyle name="40% - Accent4 5 5 3 2" xfId="14877" xr:uid="{00000000-0005-0000-0000-0000F9430000}"/>
    <cellStyle name="40% - Accent4 5 5 3 3" xfId="22824" xr:uid="{00000000-0005-0000-0000-0000FA430000}"/>
    <cellStyle name="40% - Accent4 5 5 4" xfId="11341" xr:uid="{00000000-0005-0000-0000-0000FB430000}"/>
    <cellStyle name="40% - Accent4 5 5 5" xfId="19296" xr:uid="{00000000-0005-0000-0000-0000FC430000}"/>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3" xfId="23703" xr:uid="{00000000-0005-0000-0000-000001440000}"/>
    <cellStyle name="40% - Accent4 5 6 3" xfId="12219" xr:uid="{00000000-0005-0000-0000-000002440000}"/>
    <cellStyle name="40% - Accent4 5 6 4" xfId="20174" xr:uid="{00000000-0005-0000-0000-000003440000}"/>
    <cellStyle name="40% - Accent4 5 7" xfId="6014" xr:uid="{00000000-0005-0000-0000-000004440000}"/>
    <cellStyle name="40% - Accent4 5 7 2" xfId="13998" xr:uid="{00000000-0005-0000-0000-000005440000}"/>
    <cellStyle name="40% - Accent4 5 7 3" xfId="21946" xr:uid="{00000000-0005-0000-0000-000006440000}"/>
    <cellStyle name="40% - Accent4 5 8" xfId="9567" xr:uid="{00000000-0005-0000-0000-000007440000}"/>
    <cellStyle name="40% - Accent4 5 8 2" xfId="17525" xr:uid="{00000000-0005-0000-0000-000008440000}"/>
    <cellStyle name="40% - Accent4 5 8 3" xfId="25469" xr:uid="{00000000-0005-0000-0000-000009440000}"/>
    <cellStyle name="40% - Accent4 5 9" xfId="10463" xr:uid="{00000000-0005-0000-0000-00000A440000}"/>
    <cellStyle name="40% - Accent4 5_Exh G" xfId="3133" xr:uid="{00000000-0005-0000-0000-00000B440000}"/>
    <cellStyle name="40% - Accent4 6" xfId="519" xr:uid="{00000000-0005-0000-0000-00000C440000}"/>
    <cellStyle name="40% - Accent4 6 10" xfId="18422" xr:uid="{00000000-0005-0000-0000-00000D440000}"/>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3" xfId="24587" xr:uid="{00000000-0005-0000-0000-000014440000}"/>
    <cellStyle name="40% - Accent4 6 2 2 2 2 3" xfId="13103" xr:uid="{00000000-0005-0000-0000-000015440000}"/>
    <cellStyle name="40% - Accent4 6 2 2 2 2 4" xfId="21058" xr:uid="{00000000-0005-0000-0000-000016440000}"/>
    <cellStyle name="40% - Accent4 6 2 2 2 3" xfId="6911" xr:uid="{00000000-0005-0000-0000-000017440000}"/>
    <cellStyle name="40% - Accent4 6 2 2 2 3 2" xfId="14883" xr:uid="{00000000-0005-0000-0000-000018440000}"/>
    <cellStyle name="40% - Accent4 6 2 2 2 3 3" xfId="22830" xr:uid="{00000000-0005-0000-0000-000019440000}"/>
    <cellStyle name="40% - Accent4 6 2 2 2 4" xfId="11347" xr:uid="{00000000-0005-0000-0000-00001A440000}"/>
    <cellStyle name="40% - Accent4 6 2 2 2 5" xfId="19302" xr:uid="{00000000-0005-0000-0000-00001B440000}"/>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3" xfId="23709" xr:uid="{00000000-0005-0000-0000-000020440000}"/>
    <cellStyle name="40% - Accent4 6 2 2 3 3" xfId="12225" xr:uid="{00000000-0005-0000-0000-000021440000}"/>
    <cellStyle name="40% - Accent4 6 2 2 3 4" xfId="20180" xr:uid="{00000000-0005-0000-0000-000022440000}"/>
    <cellStyle name="40% - Accent4 6 2 2 4" xfId="6020" xr:uid="{00000000-0005-0000-0000-000023440000}"/>
    <cellStyle name="40% - Accent4 6 2 2 4 2" xfId="14004" xr:uid="{00000000-0005-0000-0000-000024440000}"/>
    <cellStyle name="40% - Accent4 6 2 2 4 3" xfId="21952" xr:uid="{00000000-0005-0000-0000-000025440000}"/>
    <cellStyle name="40% - Accent4 6 2 2 5" xfId="9573" xr:uid="{00000000-0005-0000-0000-000026440000}"/>
    <cellStyle name="40% - Accent4 6 2 2 5 2" xfId="17531" xr:uid="{00000000-0005-0000-0000-000027440000}"/>
    <cellStyle name="40% - Accent4 6 2 2 5 3" xfId="25475" xr:uid="{00000000-0005-0000-0000-000028440000}"/>
    <cellStyle name="40% - Accent4 6 2 2 6" xfId="10469" xr:uid="{00000000-0005-0000-0000-000029440000}"/>
    <cellStyle name="40% - Accent4 6 2 2 7" xfId="18424" xr:uid="{00000000-0005-0000-0000-00002A440000}"/>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3" xfId="24586" xr:uid="{00000000-0005-0000-0000-000030440000}"/>
    <cellStyle name="40% - Accent4 6 2 3 2 3" xfId="13102" xr:uid="{00000000-0005-0000-0000-000031440000}"/>
    <cellStyle name="40% - Accent4 6 2 3 2 4" xfId="21057" xr:uid="{00000000-0005-0000-0000-000032440000}"/>
    <cellStyle name="40% - Accent4 6 2 3 3" xfId="6910" xr:uid="{00000000-0005-0000-0000-000033440000}"/>
    <cellStyle name="40% - Accent4 6 2 3 3 2" xfId="14882" xr:uid="{00000000-0005-0000-0000-000034440000}"/>
    <cellStyle name="40% - Accent4 6 2 3 3 3" xfId="22829" xr:uid="{00000000-0005-0000-0000-000035440000}"/>
    <cellStyle name="40% - Accent4 6 2 3 4" xfId="11346" xr:uid="{00000000-0005-0000-0000-000036440000}"/>
    <cellStyle name="40% - Accent4 6 2 3 5" xfId="19301" xr:uid="{00000000-0005-0000-0000-000037440000}"/>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3" xfId="23708" xr:uid="{00000000-0005-0000-0000-00003C440000}"/>
    <cellStyle name="40% - Accent4 6 2 4 3" xfId="12224" xr:uid="{00000000-0005-0000-0000-00003D440000}"/>
    <cellStyle name="40% - Accent4 6 2 4 4" xfId="20179" xr:uid="{00000000-0005-0000-0000-00003E440000}"/>
    <cellStyle name="40% - Accent4 6 2 5" xfId="6019" xr:uid="{00000000-0005-0000-0000-00003F440000}"/>
    <cellStyle name="40% - Accent4 6 2 5 2" xfId="14003" xr:uid="{00000000-0005-0000-0000-000040440000}"/>
    <cellStyle name="40% - Accent4 6 2 5 3" xfId="21951" xr:uid="{00000000-0005-0000-0000-000041440000}"/>
    <cellStyle name="40% - Accent4 6 2 6" xfId="9572" xr:uid="{00000000-0005-0000-0000-000042440000}"/>
    <cellStyle name="40% - Accent4 6 2 6 2" xfId="17530" xr:uid="{00000000-0005-0000-0000-000043440000}"/>
    <cellStyle name="40% - Accent4 6 2 6 3" xfId="25474" xr:uid="{00000000-0005-0000-0000-000044440000}"/>
    <cellStyle name="40% - Accent4 6 2 7" xfId="10468" xr:uid="{00000000-0005-0000-0000-000045440000}"/>
    <cellStyle name="40% - Accent4 6 2 8" xfId="18423" xr:uid="{00000000-0005-0000-0000-000046440000}"/>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3" xfId="24588" xr:uid="{00000000-0005-0000-0000-00004D440000}"/>
    <cellStyle name="40% - Accent4 6 3 2 2 3" xfId="13104" xr:uid="{00000000-0005-0000-0000-00004E440000}"/>
    <cellStyle name="40% - Accent4 6 3 2 2 4" xfId="21059" xr:uid="{00000000-0005-0000-0000-00004F440000}"/>
    <cellStyle name="40% - Accent4 6 3 2 3" xfId="6912" xr:uid="{00000000-0005-0000-0000-000050440000}"/>
    <cellStyle name="40% - Accent4 6 3 2 3 2" xfId="14884" xr:uid="{00000000-0005-0000-0000-000051440000}"/>
    <cellStyle name="40% - Accent4 6 3 2 3 3" xfId="22831" xr:uid="{00000000-0005-0000-0000-000052440000}"/>
    <cellStyle name="40% - Accent4 6 3 2 4" xfId="11348" xr:uid="{00000000-0005-0000-0000-000053440000}"/>
    <cellStyle name="40% - Accent4 6 3 2 5" xfId="19303" xr:uid="{00000000-0005-0000-0000-000054440000}"/>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3" xfId="23710" xr:uid="{00000000-0005-0000-0000-000059440000}"/>
    <cellStyle name="40% - Accent4 6 3 3 3" xfId="12226" xr:uid="{00000000-0005-0000-0000-00005A440000}"/>
    <cellStyle name="40% - Accent4 6 3 3 4" xfId="20181" xr:uid="{00000000-0005-0000-0000-00005B440000}"/>
    <cellStyle name="40% - Accent4 6 3 4" xfId="6021" xr:uid="{00000000-0005-0000-0000-00005C440000}"/>
    <cellStyle name="40% - Accent4 6 3 4 2" xfId="14005" xr:uid="{00000000-0005-0000-0000-00005D440000}"/>
    <cellStyle name="40% - Accent4 6 3 4 3" xfId="21953" xr:uid="{00000000-0005-0000-0000-00005E440000}"/>
    <cellStyle name="40% - Accent4 6 3 5" xfId="9574" xr:uid="{00000000-0005-0000-0000-00005F440000}"/>
    <cellStyle name="40% - Accent4 6 3 5 2" xfId="17532" xr:uid="{00000000-0005-0000-0000-000060440000}"/>
    <cellStyle name="40% - Accent4 6 3 5 3" xfId="25476" xr:uid="{00000000-0005-0000-0000-000061440000}"/>
    <cellStyle name="40% - Accent4 6 3 6" xfId="10470" xr:uid="{00000000-0005-0000-0000-000062440000}"/>
    <cellStyle name="40% - Accent4 6 3 7" xfId="18425" xr:uid="{00000000-0005-0000-0000-000063440000}"/>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3" xfId="24921" xr:uid="{00000000-0005-0000-0000-00006A440000}"/>
    <cellStyle name="40% - Accent4 6 4 2 2 3" xfId="13437" xr:uid="{00000000-0005-0000-0000-00006B440000}"/>
    <cellStyle name="40% - Accent4 6 4 2 2 4" xfId="21392" xr:uid="{00000000-0005-0000-0000-00006C440000}"/>
    <cellStyle name="40% - Accent4 6 4 2 3" xfId="7245" xr:uid="{00000000-0005-0000-0000-00006D440000}"/>
    <cellStyle name="40% - Accent4 6 4 2 3 2" xfId="15217" xr:uid="{00000000-0005-0000-0000-00006E440000}"/>
    <cellStyle name="40% - Accent4 6 4 2 3 3" xfId="23164" xr:uid="{00000000-0005-0000-0000-00006F440000}"/>
    <cellStyle name="40% - Accent4 6 4 2 4" xfId="11681" xr:uid="{00000000-0005-0000-0000-000070440000}"/>
    <cellStyle name="40% - Accent4 6 4 2 5" xfId="19636" xr:uid="{00000000-0005-0000-0000-000071440000}"/>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3" xfId="24043" xr:uid="{00000000-0005-0000-0000-000076440000}"/>
    <cellStyle name="40% - Accent4 6 4 3 3" xfId="12559" xr:uid="{00000000-0005-0000-0000-000077440000}"/>
    <cellStyle name="40% - Accent4 6 4 3 4" xfId="20514" xr:uid="{00000000-0005-0000-0000-000078440000}"/>
    <cellStyle name="40% - Accent4 6 4 4" xfId="6364" xr:uid="{00000000-0005-0000-0000-000079440000}"/>
    <cellStyle name="40% - Accent4 6 4 4 2" xfId="14339" xr:uid="{00000000-0005-0000-0000-00007A440000}"/>
    <cellStyle name="40% - Accent4 6 4 4 3" xfId="22286" xr:uid="{00000000-0005-0000-0000-00007B440000}"/>
    <cellStyle name="40% - Accent4 6 4 5" xfId="9907" xr:uid="{00000000-0005-0000-0000-00007C440000}"/>
    <cellStyle name="40% - Accent4 6 4 5 2" xfId="17865" xr:uid="{00000000-0005-0000-0000-00007D440000}"/>
    <cellStyle name="40% - Accent4 6 4 5 3" xfId="25809" xr:uid="{00000000-0005-0000-0000-00007E440000}"/>
    <cellStyle name="40% - Accent4 6 4 6" xfId="10803" xr:uid="{00000000-0005-0000-0000-00007F440000}"/>
    <cellStyle name="40% - Accent4 6 4 7" xfId="18758" xr:uid="{00000000-0005-0000-0000-000080440000}"/>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3" xfId="24585" xr:uid="{00000000-0005-0000-0000-000086440000}"/>
    <cellStyle name="40% - Accent4 6 5 2 3" xfId="13101" xr:uid="{00000000-0005-0000-0000-000087440000}"/>
    <cellStyle name="40% - Accent4 6 5 2 4" xfId="21056" xr:uid="{00000000-0005-0000-0000-000088440000}"/>
    <cellStyle name="40% - Accent4 6 5 3" xfId="6909" xr:uid="{00000000-0005-0000-0000-000089440000}"/>
    <cellStyle name="40% - Accent4 6 5 3 2" xfId="14881" xr:uid="{00000000-0005-0000-0000-00008A440000}"/>
    <cellStyle name="40% - Accent4 6 5 3 3" xfId="22828" xr:uid="{00000000-0005-0000-0000-00008B440000}"/>
    <cellStyle name="40% - Accent4 6 5 4" xfId="11345" xr:uid="{00000000-0005-0000-0000-00008C440000}"/>
    <cellStyle name="40% - Accent4 6 5 5" xfId="19300" xr:uid="{00000000-0005-0000-0000-00008D440000}"/>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3" xfId="23707" xr:uid="{00000000-0005-0000-0000-000092440000}"/>
    <cellStyle name="40% - Accent4 6 6 3" xfId="12223" xr:uid="{00000000-0005-0000-0000-000093440000}"/>
    <cellStyle name="40% - Accent4 6 6 4" xfId="20178" xr:uid="{00000000-0005-0000-0000-000094440000}"/>
    <cellStyle name="40% - Accent4 6 7" xfId="6018" xr:uid="{00000000-0005-0000-0000-000095440000}"/>
    <cellStyle name="40% - Accent4 6 7 2" xfId="14002" xr:uid="{00000000-0005-0000-0000-000096440000}"/>
    <cellStyle name="40% - Accent4 6 7 3" xfId="21950" xr:uid="{00000000-0005-0000-0000-000097440000}"/>
    <cellStyle name="40% - Accent4 6 8" xfId="9571" xr:uid="{00000000-0005-0000-0000-000098440000}"/>
    <cellStyle name="40% - Accent4 6 8 2" xfId="17529" xr:uid="{00000000-0005-0000-0000-000099440000}"/>
    <cellStyle name="40% - Accent4 6 8 3" xfId="25473" xr:uid="{00000000-0005-0000-0000-00009A440000}"/>
    <cellStyle name="40% - Accent4 6 9" xfId="10467" xr:uid="{00000000-0005-0000-0000-00009B440000}"/>
    <cellStyle name="40% - Accent4 6_Exh G" xfId="3141" xr:uid="{00000000-0005-0000-0000-00009C440000}"/>
    <cellStyle name="40% - Accent4 7" xfId="523" xr:uid="{00000000-0005-0000-0000-00009D440000}"/>
    <cellStyle name="40% - Accent4 7 10" xfId="18426" xr:uid="{00000000-0005-0000-0000-00009E440000}"/>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3" xfId="24591" xr:uid="{00000000-0005-0000-0000-0000A5440000}"/>
    <cellStyle name="40% - Accent4 7 2 2 2 2 3" xfId="13107" xr:uid="{00000000-0005-0000-0000-0000A6440000}"/>
    <cellStyle name="40% - Accent4 7 2 2 2 2 4" xfId="21062" xr:uid="{00000000-0005-0000-0000-0000A7440000}"/>
    <cellStyle name="40% - Accent4 7 2 2 2 3" xfId="6915" xr:uid="{00000000-0005-0000-0000-0000A8440000}"/>
    <cellStyle name="40% - Accent4 7 2 2 2 3 2" xfId="14887" xr:uid="{00000000-0005-0000-0000-0000A9440000}"/>
    <cellStyle name="40% - Accent4 7 2 2 2 3 3" xfId="22834" xr:uid="{00000000-0005-0000-0000-0000AA440000}"/>
    <cellStyle name="40% - Accent4 7 2 2 2 4" xfId="11351" xr:uid="{00000000-0005-0000-0000-0000AB440000}"/>
    <cellStyle name="40% - Accent4 7 2 2 2 5" xfId="19306" xr:uid="{00000000-0005-0000-0000-0000AC440000}"/>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3" xfId="23713" xr:uid="{00000000-0005-0000-0000-0000B1440000}"/>
    <cellStyle name="40% - Accent4 7 2 2 3 3" xfId="12229" xr:uid="{00000000-0005-0000-0000-0000B2440000}"/>
    <cellStyle name="40% - Accent4 7 2 2 3 4" xfId="20184" xr:uid="{00000000-0005-0000-0000-0000B3440000}"/>
    <cellStyle name="40% - Accent4 7 2 2 4" xfId="6024" xr:uid="{00000000-0005-0000-0000-0000B4440000}"/>
    <cellStyle name="40% - Accent4 7 2 2 4 2" xfId="14008" xr:uid="{00000000-0005-0000-0000-0000B5440000}"/>
    <cellStyle name="40% - Accent4 7 2 2 4 3" xfId="21956" xr:uid="{00000000-0005-0000-0000-0000B6440000}"/>
    <cellStyle name="40% - Accent4 7 2 2 5" xfId="9577" xr:uid="{00000000-0005-0000-0000-0000B7440000}"/>
    <cellStyle name="40% - Accent4 7 2 2 5 2" xfId="17535" xr:uid="{00000000-0005-0000-0000-0000B8440000}"/>
    <cellStyle name="40% - Accent4 7 2 2 5 3" xfId="25479" xr:uid="{00000000-0005-0000-0000-0000B9440000}"/>
    <cellStyle name="40% - Accent4 7 2 2 6" xfId="10473" xr:uid="{00000000-0005-0000-0000-0000BA440000}"/>
    <cellStyle name="40% - Accent4 7 2 2 7" xfId="18428" xr:uid="{00000000-0005-0000-0000-0000BB440000}"/>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3" xfId="24590" xr:uid="{00000000-0005-0000-0000-0000C1440000}"/>
    <cellStyle name="40% - Accent4 7 2 3 2 3" xfId="13106" xr:uid="{00000000-0005-0000-0000-0000C2440000}"/>
    <cellStyle name="40% - Accent4 7 2 3 2 4" xfId="21061" xr:uid="{00000000-0005-0000-0000-0000C3440000}"/>
    <cellStyle name="40% - Accent4 7 2 3 3" xfId="6914" xr:uid="{00000000-0005-0000-0000-0000C4440000}"/>
    <cellStyle name="40% - Accent4 7 2 3 3 2" xfId="14886" xr:uid="{00000000-0005-0000-0000-0000C5440000}"/>
    <cellStyle name="40% - Accent4 7 2 3 3 3" xfId="22833" xr:uid="{00000000-0005-0000-0000-0000C6440000}"/>
    <cellStyle name="40% - Accent4 7 2 3 4" xfId="11350" xr:uid="{00000000-0005-0000-0000-0000C7440000}"/>
    <cellStyle name="40% - Accent4 7 2 3 5" xfId="19305" xr:uid="{00000000-0005-0000-0000-0000C8440000}"/>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3" xfId="23712" xr:uid="{00000000-0005-0000-0000-0000CD440000}"/>
    <cellStyle name="40% - Accent4 7 2 4 3" xfId="12228" xr:uid="{00000000-0005-0000-0000-0000CE440000}"/>
    <cellStyle name="40% - Accent4 7 2 4 4" xfId="20183" xr:uid="{00000000-0005-0000-0000-0000CF440000}"/>
    <cellStyle name="40% - Accent4 7 2 5" xfId="6023" xr:uid="{00000000-0005-0000-0000-0000D0440000}"/>
    <cellStyle name="40% - Accent4 7 2 5 2" xfId="14007" xr:uid="{00000000-0005-0000-0000-0000D1440000}"/>
    <cellStyle name="40% - Accent4 7 2 5 3" xfId="21955" xr:uid="{00000000-0005-0000-0000-0000D2440000}"/>
    <cellStyle name="40% - Accent4 7 2 6" xfId="9576" xr:uid="{00000000-0005-0000-0000-0000D3440000}"/>
    <cellStyle name="40% - Accent4 7 2 6 2" xfId="17534" xr:uid="{00000000-0005-0000-0000-0000D4440000}"/>
    <cellStyle name="40% - Accent4 7 2 6 3" xfId="25478" xr:uid="{00000000-0005-0000-0000-0000D5440000}"/>
    <cellStyle name="40% - Accent4 7 2 7" xfId="10472" xr:uid="{00000000-0005-0000-0000-0000D6440000}"/>
    <cellStyle name="40% - Accent4 7 2 8" xfId="18427" xr:uid="{00000000-0005-0000-0000-0000D7440000}"/>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3" xfId="24592" xr:uid="{00000000-0005-0000-0000-0000DE440000}"/>
    <cellStyle name="40% - Accent4 7 3 2 2 3" xfId="13108" xr:uid="{00000000-0005-0000-0000-0000DF440000}"/>
    <cellStyle name="40% - Accent4 7 3 2 2 4" xfId="21063" xr:uid="{00000000-0005-0000-0000-0000E0440000}"/>
    <cellStyle name="40% - Accent4 7 3 2 3" xfId="6916" xr:uid="{00000000-0005-0000-0000-0000E1440000}"/>
    <cellStyle name="40% - Accent4 7 3 2 3 2" xfId="14888" xr:uid="{00000000-0005-0000-0000-0000E2440000}"/>
    <cellStyle name="40% - Accent4 7 3 2 3 3" xfId="22835" xr:uid="{00000000-0005-0000-0000-0000E3440000}"/>
    <cellStyle name="40% - Accent4 7 3 2 4" xfId="11352" xr:uid="{00000000-0005-0000-0000-0000E4440000}"/>
    <cellStyle name="40% - Accent4 7 3 2 5" xfId="19307" xr:uid="{00000000-0005-0000-0000-0000E5440000}"/>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3" xfId="23714" xr:uid="{00000000-0005-0000-0000-0000EA440000}"/>
    <cellStyle name="40% - Accent4 7 3 3 3" xfId="12230" xr:uid="{00000000-0005-0000-0000-0000EB440000}"/>
    <cellStyle name="40% - Accent4 7 3 3 4" xfId="20185" xr:uid="{00000000-0005-0000-0000-0000EC440000}"/>
    <cellStyle name="40% - Accent4 7 3 4" xfId="6025" xr:uid="{00000000-0005-0000-0000-0000ED440000}"/>
    <cellStyle name="40% - Accent4 7 3 4 2" xfId="14009" xr:uid="{00000000-0005-0000-0000-0000EE440000}"/>
    <cellStyle name="40% - Accent4 7 3 4 3" xfId="21957" xr:uid="{00000000-0005-0000-0000-0000EF440000}"/>
    <cellStyle name="40% - Accent4 7 3 5" xfId="9578" xr:uid="{00000000-0005-0000-0000-0000F0440000}"/>
    <cellStyle name="40% - Accent4 7 3 5 2" xfId="17536" xr:uid="{00000000-0005-0000-0000-0000F1440000}"/>
    <cellStyle name="40% - Accent4 7 3 5 3" xfId="25480" xr:uid="{00000000-0005-0000-0000-0000F2440000}"/>
    <cellStyle name="40% - Accent4 7 3 6" xfId="10474" xr:uid="{00000000-0005-0000-0000-0000F3440000}"/>
    <cellStyle name="40% - Accent4 7 3 7" xfId="18429" xr:uid="{00000000-0005-0000-0000-0000F4440000}"/>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3" xfId="24922" xr:uid="{00000000-0005-0000-0000-0000FB440000}"/>
    <cellStyle name="40% - Accent4 7 4 2 2 3" xfId="13438" xr:uid="{00000000-0005-0000-0000-0000FC440000}"/>
    <cellStyle name="40% - Accent4 7 4 2 2 4" xfId="21393" xr:uid="{00000000-0005-0000-0000-0000FD440000}"/>
    <cellStyle name="40% - Accent4 7 4 2 3" xfId="7246" xr:uid="{00000000-0005-0000-0000-0000FE440000}"/>
    <cellStyle name="40% - Accent4 7 4 2 3 2" xfId="15218" xr:uid="{00000000-0005-0000-0000-0000FF440000}"/>
    <cellStyle name="40% - Accent4 7 4 2 3 3" xfId="23165" xr:uid="{00000000-0005-0000-0000-000000450000}"/>
    <cellStyle name="40% - Accent4 7 4 2 4" xfId="11682" xr:uid="{00000000-0005-0000-0000-000001450000}"/>
    <cellStyle name="40% - Accent4 7 4 2 5" xfId="19637" xr:uid="{00000000-0005-0000-0000-000002450000}"/>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3" xfId="24044" xr:uid="{00000000-0005-0000-0000-000007450000}"/>
    <cellStyle name="40% - Accent4 7 4 3 3" xfId="12560" xr:uid="{00000000-0005-0000-0000-000008450000}"/>
    <cellStyle name="40% - Accent4 7 4 3 4" xfId="20515" xr:uid="{00000000-0005-0000-0000-000009450000}"/>
    <cellStyle name="40% - Accent4 7 4 4" xfId="6365" xr:uid="{00000000-0005-0000-0000-00000A450000}"/>
    <cellStyle name="40% - Accent4 7 4 4 2" xfId="14340" xr:uid="{00000000-0005-0000-0000-00000B450000}"/>
    <cellStyle name="40% - Accent4 7 4 4 3" xfId="22287" xr:uid="{00000000-0005-0000-0000-00000C450000}"/>
    <cellStyle name="40% - Accent4 7 4 5" xfId="9908" xr:uid="{00000000-0005-0000-0000-00000D450000}"/>
    <cellStyle name="40% - Accent4 7 4 5 2" xfId="17866" xr:uid="{00000000-0005-0000-0000-00000E450000}"/>
    <cellStyle name="40% - Accent4 7 4 5 3" xfId="25810" xr:uid="{00000000-0005-0000-0000-00000F450000}"/>
    <cellStyle name="40% - Accent4 7 4 6" xfId="10804" xr:uid="{00000000-0005-0000-0000-000010450000}"/>
    <cellStyle name="40% - Accent4 7 4 7" xfId="18759" xr:uid="{00000000-0005-0000-0000-000011450000}"/>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3" xfId="24589" xr:uid="{00000000-0005-0000-0000-000017450000}"/>
    <cellStyle name="40% - Accent4 7 5 2 3" xfId="13105" xr:uid="{00000000-0005-0000-0000-000018450000}"/>
    <cellStyle name="40% - Accent4 7 5 2 4" xfId="21060" xr:uid="{00000000-0005-0000-0000-000019450000}"/>
    <cellStyle name="40% - Accent4 7 5 3" xfId="6913" xr:uid="{00000000-0005-0000-0000-00001A450000}"/>
    <cellStyle name="40% - Accent4 7 5 3 2" xfId="14885" xr:uid="{00000000-0005-0000-0000-00001B450000}"/>
    <cellStyle name="40% - Accent4 7 5 3 3" xfId="22832" xr:uid="{00000000-0005-0000-0000-00001C450000}"/>
    <cellStyle name="40% - Accent4 7 5 4" xfId="11349" xr:uid="{00000000-0005-0000-0000-00001D450000}"/>
    <cellStyle name="40% - Accent4 7 5 5" xfId="19304" xr:uid="{00000000-0005-0000-0000-00001E450000}"/>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3" xfId="23711" xr:uid="{00000000-0005-0000-0000-000023450000}"/>
    <cellStyle name="40% - Accent4 7 6 3" xfId="12227" xr:uid="{00000000-0005-0000-0000-000024450000}"/>
    <cellStyle name="40% - Accent4 7 6 4" xfId="20182" xr:uid="{00000000-0005-0000-0000-000025450000}"/>
    <cellStyle name="40% - Accent4 7 7" xfId="6022" xr:uid="{00000000-0005-0000-0000-000026450000}"/>
    <cellStyle name="40% - Accent4 7 7 2" xfId="14006" xr:uid="{00000000-0005-0000-0000-000027450000}"/>
    <cellStyle name="40% - Accent4 7 7 3" xfId="21954" xr:uid="{00000000-0005-0000-0000-000028450000}"/>
    <cellStyle name="40% - Accent4 7 8" xfId="9575" xr:uid="{00000000-0005-0000-0000-000029450000}"/>
    <cellStyle name="40% - Accent4 7 8 2" xfId="17533" xr:uid="{00000000-0005-0000-0000-00002A450000}"/>
    <cellStyle name="40% - Accent4 7 8 3" xfId="25477" xr:uid="{00000000-0005-0000-0000-00002B450000}"/>
    <cellStyle name="40% - Accent4 7 9" xfId="10471" xr:uid="{00000000-0005-0000-0000-00002C450000}"/>
    <cellStyle name="40% - Accent4 7_Exh G" xfId="3151" xr:uid="{00000000-0005-0000-0000-00002D450000}"/>
    <cellStyle name="40% - Accent4 8" xfId="527" xr:uid="{00000000-0005-0000-0000-00002E450000}"/>
    <cellStyle name="40% - Accent4 8 10" xfId="18430" xr:uid="{00000000-0005-0000-0000-00002F450000}"/>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3" xfId="24595" xr:uid="{00000000-0005-0000-0000-000036450000}"/>
    <cellStyle name="40% - Accent4 8 2 2 2 2 3" xfId="13111" xr:uid="{00000000-0005-0000-0000-000037450000}"/>
    <cellStyle name="40% - Accent4 8 2 2 2 2 4" xfId="21066" xr:uid="{00000000-0005-0000-0000-000038450000}"/>
    <cellStyle name="40% - Accent4 8 2 2 2 3" xfId="6919" xr:uid="{00000000-0005-0000-0000-000039450000}"/>
    <cellStyle name="40% - Accent4 8 2 2 2 3 2" xfId="14891" xr:uid="{00000000-0005-0000-0000-00003A450000}"/>
    <cellStyle name="40% - Accent4 8 2 2 2 3 3" xfId="22838" xr:uid="{00000000-0005-0000-0000-00003B450000}"/>
    <cellStyle name="40% - Accent4 8 2 2 2 4" xfId="11355" xr:uid="{00000000-0005-0000-0000-00003C450000}"/>
    <cellStyle name="40% - Accent4 8 2 2 2 5" xfId="19310" xr:uid="{00000000-0005-0000-0000-00003D450000}"/>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3" xfId="23717" xr:uid="{00000000-0005-0000-0000-000042450000}"/>
    <cellStyle name="40% - Accent4 8 2 2 3 3" xfId="12233" xr:uid="{00000000-0005-0000-0000-000043450000}"/>
    <cellStyle name="40% - Accent4 8 2 2 3 4" xfId="20188" xr:uid="{00000000-0005-0000-0000-000044450000}"/>
    <cellStyle name="40% - Accent4 8 2 2 4" xfId="6028" xr:uid="{00000000-0005-0000-0000-000045450000}"/>
    <cellStyle name="40% - Accent4 8 2 2 4 2" xfId="14012" xr:uid="{00000000-0005-0000-0000-000046450000}"/>
    <cellStyle name="40% - Accent4 8 2 2 4 3" xfId="21960" xr:uid="{00000000-0005-0000-0000-000047450000}"/>
    <cellStyle name="40% - Accent4 8 2 2 5" xfId="9581" xr:uid="{00000000-0005-0000-0000-000048450000}"/>
    <cellStyle name="40% - Accent4 8 2 2 5 2" xfId="17539" xr:uid="{00000000-0005-0000-0000-000049450000}"/>
    <cellStyle name="40% - Accent4 8 2 2 5 3" xfId="25483" xr:uid="{00000000-0005-0000-0000-00004A450000}"/>
    <cellStyle name="40% - Accent4 8 2 2 6" xfId="10477" xr:uid="{00000000-0005-0000-0000-00004B450000}"/>
    <cellStyle name="40% - Accent4 8 2 2 7" xfId="18432" xr:uid="{00000000-0005-0000-0000-00004C450000}"/>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3" xfId="24594" xr:uid="{00000000-0005-0000-0000-000052450000}"/>
    <cellStyle name="40% - Accent4 8 2 3 2 3" xfId="13110" xr:uid="{00000000-0005-0000-0000-000053450000}"/>
    <cellStyle name="40% - Accent4 8 2 3 2 4" xfId="21065" xr:uid="{00000000-0005-0000-0000-000054450000}"/>
    <cellStyle name="40% - Accent4 8 2 3 3" xfId="6918" xr:uid="{00000000-0005-0000-0000-000055450000}"/>
    <cellStyle name="40% - Accent4 8 2 3 3 2" xfId="14890" xr:uid="{00000000-0005-0000-0000-000056450000}"/>
    <cellStyle name="40% - Accent4 8 2 3 3 3" xfId="22837" xr:uid="{00000000-0005-0000-0000-000057450000}"/>
    <cellStyle name="40% - Accent4 8 2 3 4" xfId="11354" xr:uid="{00000000-0005-0000-0000-000058450000}"/>
    <cellStyle name="40% - Accent4 8 2 3 5" xfId="19309" xr:uid="{00000000-0005-0000-0000-000059450000}"/>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3" xfId="23716" xr:uid="{00000000-0005-0000-0000-00005E450000}"/>
    <cellStyle name="40% - Accent4 8 2 4 3" xfId="12232" xr:uid="{00000000-0005-0000-0000-00005F450000}"/>
    <cellStyle name="40% - Accent4 8 2 4 4" xfId="20187" xr:uid="{00000000-0005-0000-0000-000060450000}"/>
    <cellStyle name="40% - Accent4 8 2 5" xfId="6027" xr:uid="{00000000-0005-0000-0000-000061450000}"/>
    <cellStyle name="40% - Accent4 8 2 5 2" xfId="14011" xr:uid="{00000000-0005-0000-0000-000062450000}"/>
    <cellStyle name="40% - Accent4 8 2 5 3" xfId="21959" xr:uid="{00000000-0005-0000-0000-000063450000}"/>
    <cellStyle name="40% - Accent4 8 2 6" xfId="9580" xr:uid="{00000000-0005-0000-0000-000064450000}"/>
    <cellStyle name="40% - Accent4 8 2 6 2" xfId="17538" xr:uid="{00000000-0005-0000-0000-000065450000}"/>
    <cellStyle name="40% - Accent4 8 2 6 3" xfId="25482" xr:uid="{00000000-0005-0000-0000-000066450000}"/>
    <cellStyle name="40% - Accent4 8 2 7" xfId="10476" xr:uid="{00000000-0005-0000-0000-000067450000}"/>
    <cellStyle name="40% - Accent4 8 2 8" xfId="18431" xr:uid="{00000000-0005-0000-0000-000068450000}"/>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3" xfId="24596" xr:uid="{00000000-0005-0000-0000-00006F450000}"/>
    <cellStyle name="40% - Accent4 8 3 2 2 3" xfId="13112" xr:uid="{00000000-0005-0000-0000-000070450000}"/>
    <cellStyle name="40% - Accent4 8 3 2 2 4" xfId="21067" xr:uid="{00000000-0005-0000-0000-000071450000}"/>
    <cellStyle name="40% - Accent4 8 3 2 3" xfId="6920" xr:uid="{00000000-0005-0000-0000-000072450000}"/>
    <cellStyle name="40% - Accent4 8 3 2 3 2" xfId="14892" xr:uid="{00000000-0005-0000-0000-000073450000}"/>
    <cellStyle name="40% - Accent4 8 3 2 3 3" xfId="22839" xr:uid="{00000000-0005-0000-0000-000074450000}"/>
    <cellStyle name="40% - Accent4 8 3 2 4" xfId="11356" xr:uid="{00000000-0005-0000-0000-000075450000}"/>
    <cellStyle name="40% - Accent4 8 3 2 5" xfId="19311" xr:uid="{00000000-0005-0000-0000-000076450000}"/>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3" xfId="23718" xr:uid="{00000000-0005-0000-0000-00007B450000}"/>
    <cellStyle name="40% - Accent4 8 3 3 3" xfId="12234" xr:uid="{00000000-0005-0000-0000-00007C450000}"/>
    <cellStyle name="40% - Accent4 8 3 3 4" xfId="20189" xr:uid="{00000000-0005-0000-0000-00007D450000}"/>
    <cellStyle name="40% - Accent4 8 3 4" xfId="6029" xr:uid="{00000000-0005-0000-0000-00007E450000}"/>
    <cellStyle name="40% - Accent4 8 3 4 2" xfId="14013" xr:uid="{00000000-0005-0000-0000-00007F450000}"/>
    <cellStyle name="40% - Accent4 8 3 4 3" xfId="21961" xr:uid="{00000000-0005-0000-0000-000080450000}"/>
    <cellStyle name="40% - Accent4 8 3 5" xfId="9582" xr:uid="{00000000-0005-0000-0000-000081450000}"/>
    <cellStyle name="40% - Accent4 8 3 5 2" xfId="17540" xr:uid="{00000000-0005-0000-0000-000082450000}"/>
    <cellStyle name="40% - Accent4 8 3 5 3" xfId="25484" xr:uid="{00000000-0005-0000-0000-000083450000}"/>
    <cellStyle name="40% - Accent4 8 3 6" xfId="10478" xr:uid="{00000000-0005-0000-0000-000084450000}"/>
    <cellStyle name="40% - Accent4 8 3 7" xfId="18433" xr:uid="{00000000-0005-0000-0000-000085450000}"/>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3" xfId="24923" xr:uid="{00000000-0005-0000-0000-00008C450000}"/>
    <cellStyle name="40% - Accent4 8 4 2 2 3" xfId="13439" xr:uid="{00000000-0005-0000-0000-00008D450000}"/>
    <cellStyle name="40% - Accent4 8 4 2 2 4" xfId="21394" xr:uid="{00000000-0005-0000-0000-00008E450000}"/>
    <cellStyle name="40% - Accent4 8 4 2 3" xfId="7247" xr:uid="{00000000-0005-0000-0000-00008F450000}"/>
    <cellStyle name="40% - Accent4 8 4 2 3 2" xfId="15219" xr:uid="{00000000-0005-0000-0000-000090450000}"/>
    <cellStyle name="40% - Accent4 8 4 2 3 3" xfId="23166" xr:uid="{00000000-0005-0000-0000-000091450000}"/>
    <cellStyle name="40% - Accent4 8 4 2 4" xfId="11683" xr:uid="{00000000-0005-0000-0000-000092450000}"/>
    <cellStyle name="40% - Accent4 8 4 2 5" xfId="19638" xr:uid="{00000000-0005-0000-0000-000093450000}"/>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3" xfId="24045" xr:uid="{00000000-0005-0000-0000-000098450000}"/>
    <cellStyle name="40% - Accent4 8 4 3 3" xfId="12561" xr:uid="{00000000-0005-0000-0000-000099450000}"/>
    <cellStyle name="40% - Accent4 8 4 3 4" xfId="20516" xr:uid="{00000000-0005-0000-0000-00009A450000}"/>
    <cellStyle name="40% - Accent4 8 4 4" xfId="6366" xr:uid="{00000000-0005-0000-0000-00009B450000}"/>
    <cellStyle name="40% - Accent4 8 4 4 2" xfId="14341" xr:uid="{00000000-0005-0000-0000-00009C450000}"/>
    <cellStyle name="40% - Accent4 8 4 4 3" xfId="22288" xr:uid="{00000000-0005-0000-0000-00009D450000}"/>
    <cellStyle name="40% - Accent4 8 4 5" xfId="9909" xr:uid="{00000000-0005-0000-0000-00009E450000}"/>
    <cellStyle name="40% - Accent4 8 4 5 2" xfId="17867" xr:uid="{00000000-0005-0000-0000-00009F450000}"/>
    <cellStyle name="40% - Accent4 8 4 5 3" xfId="25811" xr:uid="{00000000-0005-0000-0000-0000A0450000}"/>
    <cellStyle name="40% - Accent4 8 4 6" xfId="10805" xr:uid="{00000000-0005-0000-0000-0000A1450000}"/>
    <cellStyle name="40% - Accent4 8 4 7" xfId="18760" xr:uid="{00000000-0005-0000-0000-0000A2450000}"/>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3" xfId="24593" xr:uid="{00000000-0005-0000-0000-0000A8450000}"/>
    <cellStyle name="40% - Accent4 8 5 2 3" xfId="13109" xr:uid="{00000000-0005-0000-0000-0000A9450000}"/>
    <cellStyle name="40% - Accent4 8 5 2 4" xfId="21064" xr:uid="{00000000-0005-0000-0000-0000AA450000}"/>
    <cellStyle name="40% - Accent4 8 5 3" xfId="6917" xr:uid="{00000000-0005-0000-0000-0000AB450000}"/>
    <cellStyle name="40% - Accent4 8 5 3 2" xfId="14889" xr:uid="{00000000-0005-0000-0000-0000AC450000}"/>
    <cellStyle name="40% - Accent4 8 5 3 3" xfId="22836" xr:uid="{00000000-0005-0000-0000-0000AD450000}"/>
    <cellStyle name="40% - Accent4 8 5 4" xfId="11353" xr:uid="{00000000-0005-0000-0000-0000AE450000}"/>
    <cellStyle name="40% - Accent4 8 5 5" xfId="19308" xr:uid="{00000000-0005-0000-0000-0000AF450000}"/>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3" xfId="23715" xr:uid="{00000000-0005-0000-0000-0000B4450000}"/>
    <cellStyle name="40% - Accent4 8 6 3" xfId="12231" xr:uid="{00000000-0005-0000-0000-0000B5450000}"/>
    <cellStyle name="40% - Accent4 8 6 4" xfId="20186" xr:uid="{00000000-0005-0000-0000-0000B6450000}"/>
    <cellStyle name="40% - Accent4 8 7" xfId="6026" xr:uid="{00000000-0005-0000-0000-0000B7450000}"/>
    <cellStyle name="40% - Accent4 8 7 2" xfId="14010" xr:uid="{00000000-0005-0000-0000-0000B8450000}"/>
    <cellStyle name="40% - Accent4 8 7 3" xfId="21958" xr:uid="{00000000-0005-0000-0000-0000B9450000}"/>
    <cellStyle name="40% - Accent4 8 8" xfId="9579" xr:uid="{00000000-0005-0000-0000-0000BA450000}"/>
    <cellStyle name="40% - Accent4 8 8 2" xfId="17537" xr:uid="{00000000-0005-0000-0000-0000BB450000}"/>
    <cellStyle name="40% - Accent4 8 8 3" xfId="25481" xr:uid="{00000000-0005-0000-0000-0000BC450000}"/>
    <cellStyle name="40% - Accent4 8 9" xfId="10475" xr:uid="{00000000-0005-0000-0000-0000BD450000}"/>
    <cellStyle name="40% - Accent4 8_Exh G" xfId="3161" xr:uid="{00000000-0005-0000-0000-0000BE450000}"/>
    <cellStyle name="40% - Accent4 9" xfId="531" xr:uid="{00000000-0005-0000-0000-0000BF450000}"/>
    <cellStyle name="40% - Accent4 9 10" xfId="18434" xr:uid="{00000000-0005-0000-0000-0000C0450000}"/>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3" xfId="24599" xr:uid="{00000000-0005-0000-0000-0000C7450000}"/>
    <cellStyle name="40% - Accent4 9 2 2 2 2 3" xfId="13115" xr:uid="{00000000-0005-0000-0000-0000C8450000}"/>
    <cellStyle name="40% - Accent4 9 2 2 2 2 4" xfId="21070" xr:uid="{00000000-0005-0000-0000-0000C9450000}"/>
    <cellStyle name="40% - Accent4 9 2 2 2 3" xfId="6923" xr:uid="{00000000-0005-0000-0000-0000CA450000}"/>
    <cellStyle name="40% - Accent4 9 2 2 2 3 2" xfId="14895" xr:uid="{00000000-0005-0000-0000-0000CB450000}"/>
    <cellStyle name="40% - Accent4 9 2 2 2 3 3" xfId="22842" xr:uid="{00000000-0005-0000-0000-0000CC450000}"/>
    <cellStyle name="40% - Accent4 9 2 2 2 4" xfId="11359" xr:uid="{00000000-0005-0000-0000-0000CD450000}"/>
    <cellStyle name="40% - Accent4 9 2 2 2 5" xfId="19314" xr:uid="{00000000-0005-0000-0000-0000CE450000}"/>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3" xfId="23721" xr:uid="{00000000-0005-0000-0000-0000D3450000}"/>
    <cellStyle name="40% - Accent4 9 2 2 3 3" xfId="12237" xr:uid="{00000000-0005-0000-0000-0000D4450000}"/>
    <cellStyle name="40% - Accent4 9 2 2 3 4" xfId="20192" xr:uid="{00000000-0005-0000-0000-0000D5450000}"/>
    <cellStyle name="40% - Accent4 9 2 2 4" xfId="6032" xr:uid="{00000000-0005-0000-0000-0000D6450000}"/>
    <cellStyle name="40% - Accent4 9 2 2 4 2" xfId="14016" xr:uid="{00000000-0005-0000-0000-0000D7450000}"/>
    <cellStyle name="40% - Accent4 9 2 2 4 3" xfId="21964" xr:uid="{00000000-0005-0000-0000-0000D8450000}"/>
    <cellStyle name="40% - Accent4 9 2 2 5" xfId="9585" xr:uid="{00000000-0005-0000-0000-0000D9450000}"/>
    <cellStyle name="40% - Accent4 9 2 2 5 2" xfId="17543" xr:uid="{00000000-0005-0000-0000-0000DA450000}"/>
    <cellStyle name="40% - Accent4 9 2 2 5 3" xfId="25487" xr:uid="{00000000-0005-0000-0000-0000DB450000}"/>
    <cellStyle name="40% - Accent4 9 2 2 6" xfId="10481" xr:uid="{00000000-0005-0000-0000-0000DC450000}"/>
    <cellStyle name="40% - Accent4 9 2 2 7" xfId="18436" xr:uid="{00000000-0005-0000-0000-0000DD450000}"/>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3" xfId="24598" xr:uid="{00000000-0005-0000-0000-0000E3450000}"/>
    <cellStyle name="40% - Accent4 9 2 3 2 3" xfId="13114" xr:uid="{00000000-0005-0000-0000-0000E4450000}"/>
    <cellStyle name="40% - Accent4 9 2 3 2 4" xfId="21069" xr:uid="{00000000-0005-0000-0000-0000E5450000}"/>
    <cellStyle name="40% - Accent4 9 2 3 3" xfId="6922" xr:uid="{00000000-0005-0000-0000-0000E6450000}"/>
    <cellStyle name="40% - Accent4 9 2 3 3 2" xfId="14894" xr:uid="{00000000-0005-0000-0000-0000E7450000}"/>
    <cellStyle name="40% - Accent4 9 2 3 3 3" xfId="22841" xr:uid="{00000000-0005-0000-0000-0000E8450000}"/>
    <cellStyle name="40% - Accent4 9 2 3 4" xfId="11358" xr:uid="{00000000-0005-0000-0000-0000E9450000}"/>
    <cellStyle name="40% - Accent4 9 2 3 5" xfId="19313" xr:uid="{00000000-0005-0000-0000-0000EA450000}"/>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3" xfId="23720" xr:uid="{00000000-0005-0000-0000-0000EF450000}"/>
    <cellStyle name="40% - Accent4 9 2 4 3" xfId="12236" xr:uid="{00000000-0005-0000-0000-0000F0450000}"/>
    <cellStyle name="40% - Accent4 9 2 4 4" xfId="20191" xr:uid="{00000000-0005-0000-0000-0000F1450000}"/>
    <cellStyle name="40% - Accent4 9 2 5" xfId="6031" xr:uid="{00000000-0005-0000-0000-0000F2450000}"/>
    <cellStyle name="40% - Accent4 9 2 5 2" xfId="14015" xr:uid="{00000000-0005-0000-0000-0000F3450000}"/>
    <cellStyle name="40% - Accent4 9 2 5 3" xfId="21963" xr:uid="{00000000-0005-0000-0000-0000F4450000}"/>
    <cellStyle name="40% - Accent4 9 2 6" xfId="9584" xr:uid="{00000000-0005-0000-0000-0000F5450000}"/>
    <cellStyle name="40% - Accent4 9 2 6 2" xfId="17542" xr:uid="{00000000-0005-0000-0000-0000F6450000}"/>
    <cellStyle name="40% - Accent4 9 2 6 3" xfId="25486" xr:uid="{00000000-0005-0000-0000-0000F7450000}"/>
    <cellStyle name="40% - Accent4 9 2 7" xfId="10480" xr:uid="{00000000-0005-0000-0000-0000F8450000}"/>
    <cellStyle name="40% - Accent4 9 2 8" xfId="18435" xr:uid="{00000000-0005-0000-0000-0000F9450000}"/>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3" xfId="24600" xr:uid="{00000000-0005-0000-0000-000000460000}"/>
    <cellStyle name="40% - Accent4 9 3 2 2 3" xfId="13116" xr:uid="{00000000-0005-0000-0000-000001460000}"/>
    <cellStyle name="40% - Accent4 9 3 2 2 4" xfId="21071" xr:uid="{00000000-0005-0000-0000-000002460000}"/>
    <cellStyle name="40% - Accent4 9 3 2 3" xfId="6924" xr:uid="{00000000-0005-0000-0000-000003460000}"/>
    <cellStyle name="40% - Accent4 9 3 2 3 2" xfId="14896" xr:uid="{00000000-0005-0000-0000-000004460000}"/>
    <cellStyle name="40% - Accent4 9 3 2 3 3" xfId="22843" xr:uid="{00000000-0005-0000-0000-000005460000}"/>
    <cellStyle name="40% - Accent4 9 3 2 4" xfId="11360" xr:uid="{00000000-0005-0000-0000-000006460000}"/>
    <cellStyle name="40% - Accent4 9 3 2 5" xfId="19315" xr:uid="{00000000-0005-0000-0000-000007460000}"/>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3" xfId="23722" xr:uid="{00000000-0005-0000-0000-00000C460000}"/>
    <cellStyle name="40% - Accent4 9 3 3 3" xfId="12238" xr:uid="{00000000-0005-0000-0000-00000D460000}"/>
    <cellStyle name="40% - Accent4 9 3 3 4" xfId="20193" xr:uid="{00000000-0005-0000-0000-00000E460000}"/>
    <cellStyle name="40% - Accent4 9 3 4" xfId="6033" xr:uid="{00000000-0005-0000-0000-00000F460000}"/>
    <cellStyle name="40% - Accent4 9 3 4 2" xfId="14017" xr:uid="{00000000-0005-0000-0000-000010460000}"/>
    <cellStyle name="40% - Accent4 9 3 4 3" xfId="21965" xr:uid="{00000000-0005-0000-0000-000011460000}"/>
    <cellStyle name="40% - Accent4 9 3 5" xfId="9586" xr:uid="{00000000-0005-0000-0000-000012460000}"/>
    <cellStyle name="40% - Accent4 9 3 5 2" xfId="17544" xr:uid="{00000000-0005-0000-0000-000013460000}"/>
    <cellStyle name="40% - Accent4 9 3 5 3" xfId="25488" xr:uid="{00000000-0005-0000-0000-000014460000}"/>
    <cellStyle name="40% - Accent4 9 3 6" xfId="10482" xr:uid="{00000000-0005-0000-0000-000015460000}"/>
    <cellStyle name="40% - Accent4 9 3 7" xfId="18437" xr:uid="{00000000-0005-0000-0000-000016460000}"/>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3" xfId="24924" xr:uid="{00000000-0005-0000-0000-00001D460000}"/>
    <cellStyle name="40% - Accent4 9 4 2 2 3" xfId="13440" xr:uid="{00000000-0005-0000-0000-00001E460000}"/>
    <cellStyle name="40% - Accent4 9 4 2 2 4" xfId="21395" xr:uid="{00000000-0005-0000-0000-00001F460000}"/>
    <cellStyle name="40% - Accent4 9 4 2 3" xfId="7248" xr:uid="{00000000-0005-0000-0000-000020460000}"/>
    <cellStyle name="40% - Accent4 9 4 2 3 2" xfId="15220" xr:uid="{00000000-0005-0000-0000-000021460000}"/>
    <cellStyle name="40% - Accent4 9 4 2 3 3" xfId="23167" xr:uid="{00000000-0005-0000-0000-000022460000}"/>
    <cellStyle name="40% - Accent4 9 4 2 4" xfId="11684" xr:uid="{00000000-0005-0000-0000-000023460000}"/>
    <cellStyle name="40% - Accent4 9 4 2 5" xfId="19639" xr:uid="{00000000-0005-0000-0000-000024460000}"/>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3" xfId="24046" xr:uid="{00000000-0005-0000-0000-000029460000}"/>
    <cellStyle name="40% - Accent4 9 4 3 3" xfId="12562" xr:uid="{00000000-0005-0000-0000-00002A460000}"/>
    <cellStyle name="40% - Accent4 9 4 3 4" xfId="20517" xr:uid="{00000000-0005-0000-0000-00002B460000}"/>
    <cellStyle name="40% - Accent4 9 4 4" xfId="6367" xr:uid="{00000000-0005-0000-0000-00002C460000}"/>
    <cellStyle name="40% - Accent4 9 4 4 2" xfId="14342" xr:uid="{00000000-0005-0000-0000-00002D460000}"/>
    <cellStyle name="40% - Accent4 9 4 4 3" xfId="22289" xr:uid="{00000000-0005-0000-0000-00002E460000}"/>
    <cellStyle name="40% - Accent4 9 4 5" xfId="9910" xr:uid="{00000000-0005-0000-0000-00002F460000}"/>
    <cellStyle name="40% - Accent4 9 4 5 2" xfId="17868" xr:uid="{00000000-0005-0000-0000-000030460000}"/>
    <cellStyle name="40% - Accent4 9 4 5 3" xfId="25812" xr:uid="{00000000-0005-0000-0000-000031460000}"/>
    <cellStyle name="40% - Accent4 9 4 6" xfId="10806" xr:uid="{00000000-0005-0000-0000-000032460000}"/>
    <cellStyle name="40% - Accent4 9 4 7" xfId="18761" xr:uid="{00000000-0005-0000-0000-000033460000}"/>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3" xfId="24597" xr:uid="{00000000-0005-0000-0000-000039460000}"/>
    <cellStyle name="40% - Accent4 9 5 2 3" xfId="13113" xr:uid="{00000000-0005-0000-0000-00003A460000}"/>
    <cellStyle name="40% - Accent4 9 5 2 4" xfId="21068" xr:uid="{00000000-0005-0000-0000-00003B460000}"/>
    <cellStyle name="40% - Accent4 9 5 3" xfId="6921" xr:uid="{00000000-0005-0000-0000-00003C460000}"/>
    <cellStyle name="40% - Accent4 9 5 3 2" xfId="14893" xr:uid="{00000000-0005-0000-0000-00003D460000}"/>
    <cellStyle name="40% - Accent4 9 5 3 3" xfId="22840" xr:uid="{00000000-0005-0000-0000-00003E460000}"/>
    <cellStyle name="40% - Accent4 9 5 4" xfId="11357" xr:uid="{00000000-0005-0000-0000-00003F460000}"/>
    <cellStyle name="40% - Accent4 9 5 5" xfId="19312" xr:uid="{00000000-0005-0000-0000-000040460000}"/>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3" xfId="23719" xr:uid="{00000000-0005-0000-0000-000045460000}"/>
    <cellStyle name="40% - Accent4 9 6 3" xfId="12235" xr:uid="{00000000-0005-0000-0000-000046460000}"/>
    <cellStyle name="40% - Accent4 9 6 4" xfId="20190" xr:uid="{00000000-0005-0000-0000-000047460000}"/>
    <cellStyle name="40% - Accent4 9 7" xfId="6030" xr:uid="{00000000-0005-0000-0000-000048460000}"/>
    <cellStyle name="40% - Accent4 9 7 2" xfId="14014" xr:uid="{00000000-0005-0000-0000-000049460000}"/>
    <cellStyle name="40% - Accent4 9 7 3" xfId="21962" xr:uid="{00000000-0005-0000-0000-00004A460000}"/>
    <cellStyle name="40% - Accent4 9 8" xfId="9583" xr:uid="{00000000-0005-0000-0000-00004B460000}"/>
    <cellStyle name="40% - Accent4 9 8 2" xfId="17541" xr:uid="{00000000-0005-0000-0000-00004C460000}"/>
    <cellStyle name="40% - Accent4 9 8 3" xfId="25485" xr:uid="{00000000-0005-0000-0000-00004D460000}"/>
    <cellStyle name="40% - Accent4 9 9" xfId="10479" xr:uid="{00000000-0005-0000-0000-00004E460000}"/>
    <cellStyle name="40% - Accent4 9_Exh G" xfId="3171" xr:uid="{00000000-0005-0000-0000-00004F460000}"/>
    <cellStyle name="40% - Accent5 10" xfId="535" xr:uid="{00000000-0005-0000-0000-000050460000}"/>
    <cellStyle name="40% - Accent5 10 10" xfId="18438" xr:uid="{00000000-0005-0000-0000-000051460000}"/>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3" xfId="24603" xr:uid="{00000000-0005-0000-0000-000058460000}"/>
    <cellStyle name="40% - Accent5 10 2 2 2 2 3" xfId="13119" xr:uid="{00000000-0005-0000-0000-000059460000}"/>
    <cellStyle name="40% - Accent5 10 2 2 2 2 4" xfId="21074" xr:uid="{00000000-0005-0000-0000-00005A460000}"/>
    <cellStyle name="40% - Accent5 10 2 2 2 3" xfId="6927" xr:uid="{00000000-0005-0000-0000-00005B460000}"/>
    <cellStyle name="40% - Accent5 10 2 2 2 3 2" xfId="14899" xr:uid="{00000000-0005-0000-0000-00005C460000}"/>
    <cellStyle name="40% - Accent5 10 2 2 2 3 3" xfId="22846" xr:uid="{00000000-0005-0000-0000-00005D460000}"/>
    <cellStyle name="40% - Accent5 10 2 2 2 4" xfId="11363" xr:uid="{00000000-0005-0000-0000-00005E460000}"/>
    <cellStyle name="40% - Accent5 10 2 2 2 5" xfId="19318" xr:uid="{00000000-0005-0000-0000-00005F460000}"/>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3" xfId="23725" xr:uid="{00000000-0005-0000-0000-000064460000}"/>
    <cellStyle name="40% - Accent5 10 2 2 3 3" xfId="12241" xr:uid="{00000000-0005-0000-0000-000065460000}"/>
    <cellStyle name="40% - Accent5 10 2 2 3 4" xfId="20196" xr:uid="{00000000-0005-0000-0000-000066460000}"/>
    <cellStyle name="40% - Accent5 10 2 2 4" xfId="6036" xr:uid="{00000000-0005-0000-0000-000067460000}"/>
    <cellStyle name="40% - Accent5 10 2 2 4 2" xfId="14020" xr:uid="{00000000-0005-0000-0000-000068460000}"/>
    <cellStyle name="40% - Accent5 10 2 2 4 3" xfId="21968" xr:uid="{00000000-0005-0000-0000-000069460000}"/>
    <cellStyle name="40% - Accent5 10 2 2 5" xfId="9589" xr:uid="{00000000-0005-0000-0000-00006A460000}"/>
    <cellStyle name="40% - Accent5 10 2 2 5 2" xfId="17547" xr:uid="{00000000-0005-0000-0000-00006B460000}"/>
    <cellStyle name="40% - Accent5 10 2 2 5 3" xfId="25491" xr:uid="{00000000-0005-0000-0000-00006C460000}"/>
    <cellStyle name="40% - Accent5 10 2 2 6" xfId="10485" xr:uid="{00000000-0005-0000-0000-00006D460000}"/>
    <cellStyle name="40% - Accent5 10 2 2 7" xfId="18440" xr:uid="{00000000-0005-0000-0000-00006E460000}"/>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3" xfId="24602" xr:uid="{00000000-0005-0000-0000-000074460000}"/>
    <cellStyle name="40% - Accent5 10 2 3 2 3" xfId="13118" xr:uid="{00000000-0005-0000-0000-000075460000}"/>
    <cellStyle name="40% - Accent5 10 2 3 2 4" xfId="21073" xr:uid="{00000000-0005-0000-0000-000076460000}"/>
    <cellStyle name="40% - Accent5 10 2 3 3" xfId="6926" xr:uid="{00000000-0005-0000-0000-000077460000}"/>
    <cellStyle name="40% - Accent5 10 2 3 3 2" xfId="14898" xr:uid="{00000000-0005-0000-0000-000078460000}"/>
    <cellStyle name="40% - Accent5 10 2 3 3 3" xfId="22845" xr:uid="{00000000-0005-0000-0000-000079460000}"/>
    <cellStyle name="40% - Accent5 10 2 3 4" xfId="11362" xr:uid="{00000000-0005-0000-0000-00007A460000}"/>
    <cellStyle name="40% - Accent5 10 2 3 5" xfId="19317" xr:uid="{00000000-0005-0000-0000-00007B460000}"/>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3" xfId="23724" xr:uid="{00000000-0005-0000-0000-000080460000}"/>
    <cellStyle name="40% - Accent5 10 2 4 3" xfId="12240" xr:uid="{00000000-0005-0000-0000-000081460000}"/>
    <cellStyle name="40% - Accent5 10 2 4 4" xfId="20195" xr:uid="{00000000-0005-0000-0000-000082460000}"/>
    <cellStyle name="40% - Accent5 10 2 5" xfId="6035" xr:uid="{00000000-0005-0000-0000-000083460000}"/>
    <cellStyle name="40% - Accent5 10 2 5 2" xfId="14019" xr:uid="{00000000-0005-0000-0000-000084460000}"/>
    <cellStyle name="40% - Accent5 10 2 5 3" xfId="21967" xr:uid="{00000000-0005-0000-0000-000085460000}"/>
    <cellStyle name="40% - Accent5 10 2 6" xfId="9588" xr:uid="{00000000-0005-0000-0000-000086460000}"/>
    <cellStyle name="40% - Accent5 10 2 6 2" xfId="17546" xr:uid="{00000000-0005-0000-0000-000087460000}"/>
    <cellStyle name="40% - Accent5 10 2 6 3" xfId="25490" xr:uid="{00000000-0005-0000-0000-000088460000}"/>
    <cellStyle name="40% - Accent5 10 2 7" xfId="10484" xr:uid="{00000000-0005-0000-0000-000089460000}"/>
    <cellStyle name="40% - Accent5 10 2 8" xfId="18439" xr:uid="{00000000-0005-0000-0000-00008A460000}"/>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3" xfId="24604" xr:uid="{00000000-0005-0000-0000-000091460000}"/>
    <cellStyle name="40% - Accent5 10 3 2 2 3" xfId="13120" xr:uid="{00000000-0005-0000-0000-000092460000}"/>
    <cellStyle name="40% - Accent5 10 3 2 2 4" xfId="21075" xr:uid="{00000000-0005-0000-0000-000093460000}"/>
    <cellStyle name="40% - Accent5 10 3 2 3" xfId="6928" xr:uid="{00000000-0005-0000-0000-000094460000}"/>
    <cellStyle name="40% - Accent5 10 3 2 3 2" xfId="14900" xr:uid="{00000000-0005-0000-0000-000095460000}"/>
    <cellStyle name="40% - Accent5 10 3 2 3 3" xfId="22847" xr:uid="{00000000-0005-0000-0000-000096460000}"/>
    <cellStyle name="40% - Accent5 10 3 2 4" xfId="11364" xr:uid="{00000000-0005-0000-0000-000097460000}"/>
    <cellStyle name="40% - Accent5 10 3 2 5" xfId="19319" xr:uid="{00000000-0005-0000-0000-000098460000}"/>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3" xfId="23726" xr:uid="{00000000-0005-0000-0000-00009D460000}"/>
    <cellStyle name="40% - Accent5 10 3 3 3" xfId="12242" xr:uid="{00000000-0005-0000-0000-00009E460000}"/>
    <cellStyle name="40% - Accent5 10 3 3 4" xfId="20197" xr:uid="{00000000-0005-0000-0000-00009F460000}"/>
    <cellStyle name="40% - Accent5 10 3 4" xfId="6037" xr:uid="{00000000-0005-0000-0000-0000A0460000}"/>
    <cellStyle name="40% - Accent5 10 3 4 2" xfId="14021" xr:uid="{00000000-0005-0000-0000-0000A1460000}"/>
    <cellStyle name="40% - Accent5 10 3 4 3" xfId="21969" xr:uid="{00000000-0005-0000-0000-0000A2460000}"/>
    <cellStyle name="40% - Accent5 10 3 5" xfId="9590" xr:uid="{00000000-0005-0000-0000-0000A3460000}"/>
    <cellStyle name="40% - Accent5 10 3 5 2" xfId="17548" xr:uid="{00000000-0005-0000-0000-0000A4460000}"/>
    <cellStyle name="40% - Accent5 10 3 5 3" xfId="25492" xr:uid="{00000000-0005-0000-0000-0000A5460000}"/>
    <cellStyle name="40% - Accent5 10 3 6" xfId="10486" xr:uid="{00000000-0005-0000-0000-0000A6460000}"/>
    <cellStyle name="40% - Accent5 10 3 7" xfId="18441" xr:uid="{00000000-0005-0000-0000-0000A7460000}"/>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3" xfId="24601" xr:uid="{00000000-0005-0000-0000-0000AE460000}"/>
    <cellStyle name="40% - Accent5 10 5 2 3" xfId="13117" xr:uid="{00000000-0005-0000-0000-0000AF460000}"/>
    <cellStyle name="40% - Accent5 10 5 2 4" xfId="21072" xr:uid="{00000000-0005-0000-0000-0000B0460000}"/>
    <cellStyle name="40% - Accent5 10 5 3" xfId="6925" xr:uid="{00000000-0005-0000-0000-0000B1460000}"/>
    <cellStyle name="40% - Accent5 10 5 3 2" xfId="14897" xr:uid="{00000000-0005-0000-0000-0000B2460000}"/>
    <cellStyle name="40% - Accent5 10 5 3 3" xfId="22844" xr:uid="{00000000-0005-0000-0000-0000B3460000}"/>
    <cellStyle name="40% - Accent5 10 5 4" xfId="11361" xr:uid="{00000000-0005-0000-0000-0000B4460000}"/>
    <cellStyle name="40% - Accent5 10 5 5" xfId="19316" xr:uid="{00000000-0005-0000-0000-0000B5460000}"/>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3" xfId="23723" xr:uid="{00000000-0005-0000-0000-0000BA460000}"/>
    <cellStyle name="40% - Accent5 10 6 3" xfId="12239" xr:uid="{00000000-0005-0000-0000-0000BB460000}"/>
    <cellStyle name="40% - Accent5 10 6 4" xfId="20194" xr:uid="{00000000-0005-0000-0000-0000BC460000}"/>
    <cellStyle name="40% - Accent5 10 7" xfId="6034" xr:uid="{00000000-0005-0000-0000-0000BD460000}"/>
    <cellStyle name="40% - Accent5 10 7 2" xfId="14018" xr:uid="{00000000-0005-0000-0000-0000BE460000}"/>
    <cellStyle name="40% - Accent5 10 7 3" xfId="21966" xr:uid="{00000000-0005-0000-0000-0000BF460000}"/>
    <cellStyle name="40% - Accent5 10 8" xfId="9587" xr:uid="{00000000-0005-0000-0000-0000C0460000}"/>
    <cellStyle name="40% - Accent5 10 8 2" xfId="17545" xr:uid="{00000000-0005-0000-0000-0000C1460000}"/>
    <cellStyle name="40% - Accent5 10 8 3" xfId="25489" xr:uid="{00000000-0005-0000-0000-0000C2460000}"/>
    <cellStyle name="40% - Accent5 10 9" xfId="10483" xr:uid="{00000000-0005-0000-0000-0000C3460000}"/>
    <cellStyle name="40% - Accent5 10_Exh G" xfId="3181" xr:uid="{00000000-0005-0000-0000-0000C4460000}"/>
    <cellStyle name="40% - Accent5 11" xfId="539" xr:uid="{00000000-0005-0000-0000-0000C5460000}"/>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3" xfId="24607" xr:uid="{00000000-0005-0000-0000-0000CC460000}"/>
    <cellStyle name="40% - Accent5 11 2 2 2 2 3" xfId="13123" xr:uid="{00000000-0005-0000-0000-0000CD460000}"/>
    <cellStyle name="40% - Accent5 11 2 2 2 2 4" xfId="21078" xr:uid="{00000000-0005-0000-0000-0000CE460000}"/>
    <cellStyle name="40% - Accent5 11 2 2 2 3" xfId="6931" xr:uid="{00000000-0005-0000-0000-0000CF460000}"/>
    <cellStyle name="40% - Accent5 11 2 2 2 3 2" xfId="14903" xr:uid="{00000000-0005-0000-0000-0000D0460000}"/>
    <cellStyle name="40% - Accent5 11 2 2 2 3 3" xfId="22850" xr:uid="{00000000-0005-0000-0000-0000D1460000}"/>
    <cellStyle name="40% - Accent5 11 2 2 2 4" xfId="11367" xr:uid="{00000000-0005-0000-0000-0000D2460000}"/>
    <cellStyle name="40% - Accent5 11 2 2 2 5" xfId="19322" xr:uid="{00000000-0005-0000-0000-0000D346000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3" xfId="23729" xr:uid="{00000000-0005-0000-0000-0000D8460000}"/>
    <cellStyle name="40% - Accent5 11 2 2 3 3" xfId="12245" xr:uid="{00000000-0005-0000-0000-0000D9460000}"/>
    <cellStyle name="40% - Accent5 11 2 2 3 4" xfId="20200" xr:uid="{00000000-0005-0000-0000-0000DA460000}"/>
    <cellStyle name="40% - Accent5 11 2 2 4" xfId="6040" xr:uid="{00000000-0005-0000-0000-0000DB460000}"/>
    <cellStyle name="40% - Accent5 11 2 2 4 2" xfId="14024" xr:uid="{00000000-0005-0000-0000-0000DC460000}"/>
    <cellStyle name="40% - Accent5 11 2 2 4 3" xfId="21972" xr:uid="{00000000-0005-0000-0000-0000DD460000}"/>
    <cellStyle name="40% - Accent5 11 2 2 5" xfId="9593" xr:uid="{00000000-0005-0000-0000-0000DE460000}"/>
    <cellStyle name="40% - Accent5 11 2 2 5 2" xfId="17551" xr:uid="{00000000-0005-0000-0000-0000DF460000}"/>
    <cellStyle name="40% - Accent5 11 2 2 5 3" xfId="25495" xr:uid="{00000000-0005-0000-0000-0000E0460000}"/>
    <cellStyle name="40% - Accent5 11 2 2 6" xfId="10489" xr:uid="{00000000-0005-0000-0000-0000E1460000}"/>
    <cellStyle name="40% - Accent5 11 2 2 7" xfId="18444" xr:uid="{00000000-0005-0000-0000-0000E2460000}"/>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3" xfId="24606" xr:uid="{00000000-0005-0000-0000-0000E8460000}"/>
    <cellStyle name="40% - Accent5 11 2 3 2 3" xfId="13122" xr:uid="{00000000-0005-0000-0000-0000E9460000}"/>
    <cellStyle name="40% - Accent5 11 2 3 2 4" xfId="21077" xr:uid="{00000000-0005-0000-0000-0000EA460000}"/>
    <cellStyle name="40% - Accent5 11 2 3 3" xfId="6930" xr:uid="{00000000-0005-0000-0000-0000EB460000}"/>
    <cellStyle name="40% - Accent5 11 2 3 3 2" xfId="14902" xr:uid="{00000000-0005-0000-0000-0000EC460000}"/>
    <cellStyle name="40% - Accent5 11 2 3 3 3" xfId="22849" xr:uid="{00000000-0005-0000-0000-0000ED460000}"/>
    <cellStyle name="40% - Accent5 11 2 3 4" xfId="11366" xr:uid="{00000000-0005-0000-0000-0000EE460000}"/>
    <cellStyle name="40% - Accent5 11 2 3 5" xfId="19321" xr:uid="{00000000-0005-0000-0000-0000EF460000}"/>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3" xfId="23728" xr:uid="{00000000-0005-0000-0000-0000F4460000}"/>
    <cellStyle name="40% - Accent5 11 2 4 3" xfId="12244" xr:uid="{00000000-0005-0000-0000-0000F5460000}"/>
    <cellStyle name="40% - Accent5 11 2 4 4" xfId="20199" xr:uid="{00000000-0005-0000-0000-0000F6460000}"/>
    <cellStyle name="40% - Accent5 11 2 5" xfId="6039" xr:uid="{00000000-0005-0000-0000-0000F7460000}"/>
    <cellStyle name="40% - Accent5 11 2 5 2" xfId="14023" xr:uid="{00000000-0005-0000-0000-0000F8460000}"/>
    <cellStyle name="40% - Accent5 11 2 5 3" xfId="21971" xr:uid="{00000000-0005-0000-0000-0000F9460000}"/>
    <cellStyle name="40% - Accent5 11 2 6" xfId="9592" xr:uid="{00000000-0005-0000-0000-0000FA460000}"/>
    <cellStyle name="40% - Accent5 11 2 6 2" xfId="17550" xr:uid="{00000000-0005-0000-0000-0000FB460000}"/>
    <cellStyle name="40% - Accent5 11 2 6 3" xfId="25494" xr:uid="{00000000-0005-0000-0000-0000FC460000}"/>
    <cellStyle name="40% - Accent5 11 2 7" xfId="10488" xr:uid="{00000000-0005-0000-0000-0000FD460000}"/>
    <cellStyle name="40% - Accent5 11 2 8" xfId="18443" xr:uid="{00000000-0005-0000-0000-0000FE460000}"/>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3" xfId="24608" xr:uid="{00000000-0005-0000-0000-000005470000}"/>
    <cellStyle name="40% - Accent5 11 3 2 2 3" xfId="13124" xr:uid="{00000000-0005-0000-0000-000006470000}"/>
    <cellStyle name="40% - Accent5 11 3 2 2 4" xfId="21079" xr:uid="{00000000-0005-0000-0000-000007470000}"/>
    <cellStyle name="40% - Accent5 11 3 2 3" xfId="6932" xr:uid="{00000000-0005-0000-0000-000008470000}"/>
    <cellStyle name="40% - Accent5 11 3 2 3 2" xfId="14904" xr:uid="{00000000-0005-0000-0000-000009470000}"/>
    <cellStyle name="40% - Accent5 11 3 2 3 3" xfId="22851" xr:uid="{00000000-0005-0000-0000-00000A470000}"/>
    <cellStyle name="40% - Accent5 11 3 2 4" xfId="11368" xr:uid="{00000000-0005-0000-0000-00000B470000}"/>
    <cellStyle name="40% - Accent5 11 3 2 5" xfId="19323" xr:uid="{00000000-0005-0000-0000-00000C470000}"/>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3" xfId="23730" xr:uid="{00000000-0005-0000-0000-000011470000}"/>
    <cellStyle name="40% - Accent5 11 3 3 3" xfId="12246" xr:uid="{00000000-0005-0000-0000-000012470000}"/>
    <cellStyle name="40% - Accent5 11 3 3 4" xfId="20201" xr:uid="{00000000-0005-0000-0000-000013470000}"/>
    <cellStyle name="40% - Accent5 11 3 4" xfId="6041" xr:uid="{00000000-0005-0000-0000-000014470000}"/>
    <cellStyle name="40% - Accent5 11 3 4 2" xfId="14025" xr:uid="{00000000-0005-0000-0000-000015470000}"/>
    <cellStyle name="40% - Accent5 11 3 4 3" xfId="21973" xr:uid="{00000000-0005-0000-0000-000016470000}"/>
    <cellStyle name="40% - Accent5 11 3 5" xfId="9594" xr:uid="{00000000-0005-0000-0000-000017470000}"/>
    <cellStyle name="40% - Accent5 11 3 5 2" xfId="17552" xr:uid="{00000000-0005-0000-0000-000018470000}"/>
    <cellStyle name="40% - Accent5 11 3 5 3" xfId="25496" xr:uid="{00000000-0005-0000-0000-000019470000}"/>
    <cellStyle name="40% - Accent5 11 3 6" xfId="10490" xr:uid="{00000000-0005-0000-0000-00001A470000}"/>
    <cellStyle name="40% - Accent5 11 3 7" xfId="18445" xr:uid="{00000000-0005-0000-0000-00001B470000}"/>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3" xfId="24605" xr:uid="{00000000-0005-0000-0000-000021470000}"/>
    <cellStyle name="40% - Accent5 11 4 2 3" xfId="13121" xr:uid="{00000000-0005-0000-0000-000022470000}"/>
    <cellStyle name="40% - Accent5 11 4 2 4" xfId="21076" xr:uid="{00000000-0005-0000-0000-000023470000}"/>
    <cellStyle name="40% - Accent5 11 4 3" xfId="6929" xr:uid="{00000000-0005-0000-0000-000024470000}"/>
    <cellStyle name="40% - Accent5 11 4 3 2" xfId="14901" xr:uid="{00000000-0005-0000-0000-000025470000}"/>
    <cellStyle name="40% - Accent5 11 4 3 3" xfId="22848" xr:uid="{00000000-0005-0000-0000-000026470000}"/>
    <cellStyle name="40% - Accent5 11 4 4" xfId="11365" xr:uid="{00000000-0005-0000-0000-000027470000}"/>
    <cellStyle name="40% - Accent5 11 4 5" xfId="19320" xr:uid="{00000000-0005-0000-0000-000028470000}"/>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3" xfId="23727" xr:uid="{00000000-0005-0000-0000-00002D470000}"/>
    <cellStyle name="40% - Accent5 11 5 3" xfId="12243" xr:uid="{00000000-0005-0000-0000-00002E470000}"/>
    <cellStyle name="40% - Accent5 11 5 4" xfId="20198" xr:uid="{00000000-0005-0000-0000-00002F470000}"/>
    <cellStyle name="40% - Accent5 11 6" xfId="6038" xr:uid="{00000000-0005-0000-0000-000030470000}"/>
    <cellStyle name="40% - Accent5 11 6 2" xfId="14022" xr:uid="{00000000-0005-0000-0000-000031470000}"/>
    <cellStyle name="40% - Accent5 11 6 3" xfId="21970" xr:uid="{00000000-0005-0000-0000-000032470000}"/>
    <cellStyle name="40% - Accent5 11 7" xfId="9591" xr:uid="{00000000-0005-0000-0000-000033470000}"/>
    <cellStyle name="40% - Accent5 11 7 2" xfId="17549" xr:uid="{00000000-0005-0000-0000-000034470000}"/>
    <cellStyle name="40% - Accent5 11 7 3" xfId="25493" xr:uid="{00000000-0005-0000-0000-000035470000}"/>
    <cellStyle name="40% - Accent5 11 8" xfId="10487" xr:uid="{00000000-0005-0000-0000-000036470000}"/>
    <cellStyle name="40% - Accent5 11 9" xfId="18442" xr:uid="{00000000-0005-0000-0000-000037470000}"/>
    <cellStyle name="40% - Accent5 11_Exh G" xfId="3189" xr:uid="{00000000-0005-0000-0000-000038470000}"/>
    <cellStyle name="40% - Accent5 12" xfId="543" xr:uid="{00000000-0005-0000-0000-000039470000}"/>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3" xfId="24611" xr:uid="{00000000-0005-0000-0000-000040470000}"/>
    <cellStyle name="40% - Accent5 12 2 2 2 2 3" xfId="13127" xr:uid="{00000000-0005-0000-0000-000041470000}"/>
    <cellStyle name="40% - Accent5 12 2 2 2 2 4" xfId="21082" xr:uid="{00000000-0005-0000-0000-000042470000}"/>
    <cellStyle name="40% - Accent5 12 2 2 2 3" xfId="6935" xr:uid="{00000000-0005-0000-0000-000043470000}"/>
    <cellStyle name="40% - Accent5 12 2 2 2 3 2" xfId="14907" xr:uid="{00000000-0005-0000-0000-000044470000}"/>
    <cellStyle name="40% - Accent5 12 2 2 2 3 3" xfId="22854" xr:uid="{00000000-0005-0000-0000-000045470000}"/>
    <cellStyle name="40% - Accent5 12 2 2 2 4" xfId="11371" xr:uid="{00000000-0005-0000-0000-000046470000}"/>
    <cellStyle name="40% - Accent5 12 2 2 2 5" xfId="19326" xr:uid="{00000000-0005-0000-0000-00004747000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3" xfId="23733" xr:uid="{00000000-0005-0000-0000-00004C470000}"/>
    <cellStyle name="40% - Accent5 12 2 2 3 3" xfId="12249" xr:uid="{00000000-0005-0000-0000-00004D470000}"/>
    <cellStyle name="40% - Accent5 12 2 2 3 4" xfId="20204" xr:uid="{00000000-0005-0000-0000-00004E470000}"/>
    <cellStyle name="40% - Accent5 12 2 2 4" xfId="6044" xr:uid="{00000000-0005-0000-0000-00004F470000}"/>
    <cellStyle name="40% - Accent5 12 2 2 4 2" xfId="14028" xr:uid="{00000000-0005-0000-0000-000050470000}"/>
    <cellStyle name="40% - Accent5 12 2 2 4 3" xfId="21976" xr:uid="{00000000-0005-0000-0000-000051470000}"/>
    <cellStyle name="40% - Accent5 12 2 2 5" xfId="9597" xr:uid="{00000000-0005-0000-0000-000052470000}"/>
    <cellStyle name="40% - Accent5 12 2 2 5 2" xfId="17555" xr:uid="{00000000-0005-0000-0000-000053470000}"/>
    <cellStyle name="40% - Accent5 12 2 2 5 3" xfId="25499" xr:uid="{00000000-0005-0000-0000-000054470000}"/>
    <cellStyle name="40% - Accent5 12 2 2 6" xfId="10493" xr:uid="{00000000-0005-0000-0000-000055470000}"/>
    <cellStyle name="40% - Accent5 12 2 2 7" xfId="18448" xr:uid="{00000000-0005-0000-0000-000056470000}"/>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3" xfId="24610" xr:uid="{00000000-0005-0000-0000-00005C470000}"/>
    <cellStyle name="40% - Accent5 12 2 3 2 3" xfId="13126" xr:uid="{00000000-0005-0000-0000-00005D470000}"/>
    <cellStyle name="40% - Accent5 12 2 3 2 4" xfId="21081" xr:uid="{00000000-0005-0000-0000-00005E470000}"/>
    <cellStyle name="40% - Accent5 12 2 3 3" xfId="6934" xr:uid="{00000000-0005-0000-0000-00005F470000}"/>
    <cellStyle name="40% - Accent5 12 2 3 3 2" xfId="14906" xr:uid="{00000000-0005-0000-0000-000060470000}"/>
    <cellStyle name="40% - Accent5 12 2 3 3 3" xfId="22853" xr:uid="{00000000-0005-0000-0000-000061470000}"/>
    <cellStyle name="40% - Accent5 12 2 3 4" xfId="11370" xr:uid="{00000000-0005-0000-0000-000062470000}"/>
    <cellStyle name="40% - Accent5 12 2 3 5" xfId="19325" xr:uid="{00000000-0005-0000-0000-000063470000}"/>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3" xfId="23732" xr:uid="{00000000-0005-0000-0000-000068470000}"/>
    <cellStyle name="40% - Accent5 12 2 4 3" xfId="12248" xr:uid="{00000000-0005-0000-0000-000069470000}"/>
    <cellStyle name="40% - Accent5 12 2 4 4" xfId="20203" xr:uid="{00000000-0005-0000-0000-00006A470000}"/>
    <cellStyle name="40% - Accent5 12 2 5" xfId="6043" xr:uid="{00000000-0005-0000-0000-00006B470000}"/>
    <cellStyle name="40% - Accent5 12 2 5 2" xfId="14027" xr:uid="{00000000-0005-0000-0000-00006C470000}"/>
    <cellStyle name="40% - Accent5 12 2 5 3" xfId="21975" xr:uid="{00000000-0005-0000-0000-00006D470000}"/>
    <cellStyle name="40% - Accent5 12 2 6" xfId="9596" xr:uid="{00000000-0005-0000-0000-00006E470000}"/>
    <cellStyle name="40% - Accent5 12 2 6 2" xfId="17554" xr:uid="{00000000-0005-0000-0000-00006F470000}"/>
    <cellStyle name="40% - Accent5 12 2 6 3" xfId="25498" xr:uid="{00000000-0005-0000-0000-000070470000}"/>
    <cellStyle name="40% - Accent5 12 2 7" xfId="10492" xr:uid="{00000000-0005-0000-0000-000071470000}"/>
    <cellStyle name="40% - Accent5 12 2 8" xfId="18447" xr:uid="{00000000-0005-0000-0000-000072470000}"/>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3" xfId="24612" xr:uid="{00000000-0005-0000-0000-000079470000}"/>
    <cellStyle name="40% - Accent5 12 3 2 2 3" xfId="13128" xr:uid="{00000000-0005-0000-0000-00007A470000}"/>
    <cellStyle name="40% - Accent5 12 3 2 2 4" xfId="21083" xr:uid="{00000000-0005-0000-0000-00007B470000}"/>
    <cellStyle name="40% - Accent5 12 3 2 3" xfId="6936" xr:uid="{00000000-0005-0000-0000-00007C470000}"/>
    <cellStyle name="40% - Accent5 12 3 2 3 2" xfId="14908" xr:uid="{00000000-0005-0000-0000-00007D470000}"/>
    <cellStyle name="40% - Accent5 12 3 2 3 3" xfId="22855" xr:uid="{00000000-0005-0000-0000-00007E470000}"/>
    <cellStyle name="40% - Accent5 12 3 2 4" xfId="11372" xr:uid="{00000000-0005-0000-0000-00007F470000}"/>
    <cellStyle name="40% - Accent5 12 3 2 5" xfId="19327" xr:uid="{00000000-0005-0000-0000-000080470000}"/>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3" xfId="23734" xr:uid="{00000000-0005-0000-0000-000085470000}"/>
    <cellStyle name="40% - Accent5 12 3 3 3" xfId="12250" xr:uid="{00000000-0005-0000-0000-000086470000}"/>
    <cellStyle name="40% - Accent5 12 3 3 4" xfId="20205" xr:uid="{00000000-0005-0000-0000-000087470000}"/>
    <cellStyle name="40% - Accent5 12 3 4" xfId="6045" xr:uid="{00000000-0005-0000-0000-000088470000}"/>
    <cellStyle name="40% - Accent5 12 3 4 2" xfId="14029" xr:uid="{00000000-0005-0000-0000-000089470000}"/>
    <cellStyle name="40% - Accent5 12 3 4 3" xfId="21977" xr:uid="{00000000-0005-0000-0000-00008A470000}"/>
    <cellStyle name="40% - Accent5 12 3 5" xfId="9598" xr:uid="{00000000-0005-0000-0000-00008B470000}"/>
    <cellStyle name="40% - Accent5 12 3 5 2" xfId="17556" xr:uid="{00000000-0005-0000-0000-00008C470000}"/>
    <cellStyle name="40% - Accent5 12 3 5 3" xfId="25500" xr:uid="{00000000-0005-0000-0000-00008D470000}"/>
    <cellStyle name="40% - Accent5 12 3 6" xfId="10494" xr:uid="{00000000-0005-0000-0000-00008E470000}"/>
    <cellStyle name="40% - Accent5 12 3 7" xfId="18449" xr:uid="{00000000-0005-0000-0000-00008F470000}"/>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3" xfId="24609" xr:uid="{00000000-0005-0000-0000-000095470000}"/>
    <cellStyle name="40% - Accent5 12 4 2 3" xfId="13125" xr:uid="{00000000-0005-0000-0000-000096470000}"/>
    <cellStyle name="40% - Accent5 12 4 2 4" xfId="21080" xr:uid="{00000000-0005-0000-0000-000097470000}"/>
    <cellStyle name="40% - Accent5 12 4 3" xfId="6933" xr:uid="{00000000-0005-0000-0000-000098470000}"/>
    <cellStyle name="40% - Accent5 12 4 3 2" xfId="14905" xr:uid="{00000000-0005-0000-0000-000099470000}"/>
    <cellStyle name="40% - Accent5 12 4 3 3" xfId="22852" xr:uid="{00000000-0005-0000-0000-00009A470000}"/>
    <cellStyle name="40% - Accent5 12 4 4" xfId="11369" xr:uid="{00000000-0005-0000-0000-00009B470000}"/>
    <cellStyle name="40% - Accent5 12 4 5" xfId="19324" xr:uid="{00000000-0005-0000-0000-00009C47000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3" xfId="23731" xr:uid="{00000000-0005-0000-0000-0000A1470000}"/>
    <cellStyle name="40% - Accent5 12 5 3" xfId="12247" xr:uid="{00000000-0005-0000-0000-0000A2470000}"/>
    <cellStyle name="40% - Accent5 12 5 4" xfId="20202" xr:uid="{00000000-0005-0000-0000-0000A3470000}"/>
    <cellStyle name="40% - Accent5 12 6" xfId="6042" xr:uid="{00000000-0005-0000-0000-0000A4470000}"/>
    <cellStyle name="40% - Accent5 12 6 2" xfId="14026" xr:uid="{00000000-0005-0000-0000-0000A5470000}"/>
    <cellStyle name="40% - Accent5 12 6 3" xfId="21974" xr:uid="{00000000-0005-0000-0000-0000A6470000}"/>
    <cellStyle name="40% - Accent5 12 7" xfId="9595" xr:uid="{00000000-0005-0000-0000-0000A7470000}"/>
    <cellStyle name="40% - Accent5 12 7 2" xfId="17553" xr:uid="{00000000-0005-0000-0000-0000A8470000}"/>
    <cellStyle name="40% - Accent5 12 7 3" xfId="25497" xr:uid="{00000000-0005-0000-0000-0000A9470000}"/>
    <cellStyle name="40% - Accent5 12 8" xfId="10491" xr:uid="{00000000-0005-0000-0000-0000AA470000}"/>
    <cellStyle name="40% - Accent5 12 9" xfId="18446" xr:uid="{00000000-0005-0000-0000-0000AB470000}"/>
    <cellStyle name="40% - Accent5 12_Exh G" xfId="3197" xr:uid="{00000000-0005-0000-0000-0000AC470000}"/>
    <cellStyle name="40% - Accent5 13" xfId="547" xr:uid="{00000000-0005-0000-0000-0000AD470000}"/>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3" xfId="24615" xr:uid="{00000000-0005-0000-0000-0000B4470000}"/>
    <cellStyle name="40% - Accent5 13 2 2 2 2 3" xfId="13131" xr:uid="{00000000-0005-0000-0000-0000B5470000}"/>
    <cellStyle name="40% - Accent5 13 2 2 2 2 4" xfId="21086" xr:uid="{00000000-0005-0000-0000-0000B6470000}"/>
    <cellStyle name="40% - Accent5 13 2 2 2 3" xfId="6939" xr:uid="{00000000-0005-0000-0000-0000B7470000}"/>
    <cellStyle name="40% - Accent5 13 2 2 2 3 2" xfId="14911" xr:uid="{00000000-0005-0000-0000-0000B8470000}"/>
    <cellStyle name="40% - Accent5 13 2 2 2 3 3" xfId="22858" xr:uid="{00000000-0005-0000-0000-0000B9470000}"/>
    <cellStyle name="40% - Accent5 13 2 2 2 4" xfId="11375" xr:uid="{00000000-0005-0000-0000-0000BA470000}"/>
    <cellStyle name="40% - Accent5 13 2 2 2 5" xfId="19330" xr:uid="{00000000-0005-0000-0000-0000BB470000}"/>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3" xfId="23737" xr:uid="{00000000-0005-0000-0000-0000C0470000}"/>
    <cellStyle name="40% - Accent5 13 2 2 3 3" xfId="12253" xr:uid="{00000000-0005-0000-0000-0000C1470000}"/>
    <cellStyle name="40% - Accent5 13 2 2 3 4" xfId="20208" xr:uid="{00000000-0005-0000-0000-0000C2470000}"/>
    <cellStyle name="40% - Accent5 13 2 2 4" xfId="6048" xr:uid="{00000000-0005-0000-0000-0000C3470000}"/>
    <cellStyle name="40% - Accent5 13 2 2 4 2" xfId="14032" xr:uid="{00000000-0005-0000-0000-0000C4470000}"/>
    <cellStyle name="40% - Accent5 13 2 2 4 3" xfId="21980" xr:uid="{00000000-0005-0000-0000-0000C5470000}"/>
    <cellStyle name="40% - Accent5 13 2 2 5" xfId="9601" xr:uid="{00000000-0005-0000-0000-0000C6470000}"/>
    <cellStyle name="40% - Accent5 13 2 2 5 2" xfId="17559" xr:uid="{00000000-0005-0000-0000-0000C7470000}"/>
    <cellStyle name="40% - Accent5 13 2 2 5 3" xfId="25503" xr:uid="{00000000-0005-0000-0000-0000C8470000}"/>
    <cellStyle name="40% - Accent5 13 2 2 6" xfId="10497" xr:uid="{00000000-0005-0000-0000-0000C9470000}"/>
    <cellStyle name="40% - Accent5 13 2 2 7" xfId="18452" xr:uid="{00000000-0005-0000-0000-0000CA470000}"/>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3" xfId="24614" xr:uid="{00000000-0005-0000-0000-0000D0470000}"/>
    <cellStyle name="40% - Accent5 13 2 3 2 3" xfId="13130" xr:uid="{00000000-0005-0000-0000-0000D1470000}"/>
    <cellStyle name="40% - Accent5 13 2 3 2 4" xfId="21085" xr:uid="{00000000-0005-0000-0000-0000D2470000}"/>
    <cellStyle name="40% - Accent5 13 2 3 3" xfId="6938" xr:uid="{00000000-0005-0000-0000-0000D3470000}"/>
    <cellStyle name="40% - Accent5 13 2 3 3 2" xfId="14910" xr:uid="{00000000-0005-0000-0000-0000D4470000}"/>
    <cellStyle name="40% - Accent5 13 2 3 3 3" xfId="22857" xr:uid="{00000000-0005-0000-0000-0000D5470000}"/>
    <cellStyle name="40% - Accent5 13 2 3 4" xfId="11374" xr:uid="{00000000-0005-0000-0000-0000D6470000}"/>
    <cellStyle name="40% - Accent5 13 2 3 5" xfId="19329" xr:uid="{00000000-0005-0000-0000-0000D7470000}"/>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3" xfId="23736" xr:uid="{00000000-0005-0000-0000-0000DC470000}"/>
    <cellStyle name="40% - Accent5 13 2 4 3" xfId="12252" xr:uid="{00000000-0005-0000-0000-0000DD470000}"/>
    <cellStyle name="40% - Accent5 13 2 4 4" xfId="20207" xr:uid="{00000000-0005-0000-0000-0000DE470000}"/>
    <cellStyle name="40% - Accent5 13 2 5" xfId="6047" xr:uid="{00000000-0005-0000-0000-0000DF470000}"/>
    <cellStyle name="40% - Accent5 13 2 5 2" xfId="14031" xr:uid="{00000000-0005-0000-0000-0000E0470000}"/>
    <cellStyle name="40% - Accent5 13 2 5 3" xfId="21979" xr:uid="{00000000-0005-0000-0000-0000E1470000}"/>
    <cellStyle name="40% - Accent5 13 2 6" xfId="9600" xr:uid="{00000000-0005-0000-0000-0000E2470000}"/>
    <cellStyle name="40% - Accent5 13 2 6 2" xfId="17558" xr:uid="{00000000-0005-0000-0000-0000E3470000}"/>
    <cellStyle name="40% - Accent5 13 2 6 3" xfId="25502" xr:uid="{00000000-0005-0000-0000-0000E4470000}"/>
    <cellStyle name="40% - Accent5 13 2 7" xfId="10496" xr:uid="{00000000-0005-0000-0000-0000E5470000}"/>
    <cellStyle name="40% - Accent5 13 2 8" xfId="18451" xr:uid="{00000000-0005-0000-0000-0000E6470000}"/>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3" xfId="24616" xr:uid="{00000000-0005-0000-0000-0000ED470000}"/>
    <cellStyle name="40% - Accent5 13 3 2 2 3" xfId="13132" xr:uid="{00000000-0005-0000-0000-0000EE470000}"/>
    <cellStyle name="40% - Accent5 13 3 2 2 4" xfId="21087" xr:uid="{00000000-0005-0000-0000-0000EF470000}"/>
    <cellStyle name="40% - Accent5 13 3 2 3" xfId="6940" xr:uid="{00000000-0005-0000-0000-0000F0470000}"/>
    <cellStyle name="40% - Accent5 13 3 2 3 2" xfId="14912" xr:uid="{00000000-0005-0000-0000-0000F1470000}"/>
    <cellStyle name="40% - Accent5 13 3 2 3 3" xfId="22859" xr:uid="{00000000-0005-0000-0000-0000F2470000}"/>
    <cellStyle name="40% - Accent5 13 3 2 4" xfId="11376" xr:uid="{00000000-0005-0000-0000-0000F3470000}"/>
    <cellStyle name="40% - Accent5 13 3 2 5" xfId="19331" xr:uid="{00000000-0005-0000-0000-0000F4470000}"/>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3" xfId="23738" xr:uid="{00000000-0005-0000-0000-0000F9470000}"/>
    <cellStyle name="40% - Accent5 13 3 3 3" xfId="12254" xr:uid="{00000000-0005-0000-0000-0000FA470000}"/>
    <cellStyle name="40% - Accent5 13 3 3 4" xfId="20209" xr:uid="{00000000-0005-0000-0000-0000FB470000}"/>
    <cellStyle name="40% - Accent5 13 3 4" xfId="6049" xr:uid="{00000000-0005-0000-0000-0000FC470000}"/>
    <cellStyle name="40% - Accent5 13 3 4 2" xfId="14033" xr:uid="{00000000-0005-0000-0000-0000FD470000}"/>
    <cellStyle name="40% - Accent5 13 3 4 3" xfId="21981" xr:uid="{00000000-0005-0000-0000-0000FE470000}"/>
    <cellStyle name="40% - Accent5 13 3 5" xfId="9602" xr:uid="{00000000-0005-0000-0000-0000FF470000}"/>
    <cellStyle name="40% - Accent5 13 3 5 2" xfId="17560" xr:uid="{00000000-0005-0000-0000-000000480000}"/>
    <cellStyle name="40% - Accent5 13 3 5 3" xfId="25504" xr:uid="{00000000-0005-0000-0000-000001480000}"/>
    <cellStyle name="40% - Accent5 13 3 6" xfId="10498" xr:uid="{00000000-0005-0000-0000-000002480000}"/>
    <cellStyle name="40% - Accent5 13 3 7" xfId="18453" xr:uid="{00000000-0005-0000-0000-000003480000}"/>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3" xfId="24613" xr:uid="{00000000-0005-0000-0000-000009480000}"/>
    <cellStyle name="40% - Accent5 13 4 2 3" xfId="13129" xr:uid="{00000000-0005-0000-0000-00000A480000}"/>
    <cellStyle name="40% - Accent5 13 4 2 4" xfId="21084" xr:uid="{00000000-0005-0000-0000-00000B480000}"/>
    <cellStyle name="40% - Accent5 13 4 3" xfId="6937" xr:uid="{00000000-0005-0000-0000-00000C480000}"/>
    <cellStyle name="40% - Accent5 13 4 3 2" xfId="14909" xr:uid="{00000000-0005-0000-0000-00000D480000}"/>
    <cellStyle name="40% - Accent5 13 4 3 3" xfId="22856" xr:uid="{00000000-0005-0000-0000-00000E480000}"/>
    <cellStyle name="40% - Accent5 13 4 4" xfId="11373" xr:uid="{00000000-0005-0000-0000-00000F480000}"/>
    <cellStyle name="40% - Accent5 13 4 5" xfId="19328" xr:uid="{00000000-0005-0000-0000-000010480000}"/>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3" xfId="23735" xr:uid="{00000000-0005-0000-0000-000015480000}"/>
    <cellStyle name="40% - Accent5 13 5 3" xfId="12251" xr:uid="{00000000-0005-0000-0000-000016480000}"/>
    <cellStyle name="40% - Accent5 13 5 4" xfId="20206" xr:uid="{00000000-0005-0000-0000-000017480000}"/>
    <cellStyle name="40% - Accent5 13 6" xfId="6046" xr:uid="{00000000-0005-0000-0000-000018480000}"/>
    <cellStyle name="40% - Accent5 13 6 2" xfId="14030" xr:uid="{00000000-0005-0000-0000-000019480000}"/>
    <cellStyle name="40% - Accent5 13 6 3" xfId="21978" xr:uid="{00000000-0005-0000-0000-00001A480000}"/>
    <cellStyle name="40% - Accent5 13 7" xfId="9599" xr:uid="{00000000-0005-0000-0000-00001B480000}"/>
    <cellStyle name="40% - Accent5 13 7 2" xfId="17557" xr:uid="{00000000-0005-0000-0000-00001C480000}"/>
    <cellStyle name="40% - Accent5 13 7 3" xfId="25501" xr:uid="{00000000-0005-0000-0000-00001D480000}"/>
    <cellStyle name="40% - Accent5 13 8" xfId="10495" xr:uid="{00000000-0005-0000-0000-00001E480000}"/>
    <cellStyle name="40% - Accent5 13 9" xfId="18450" xr:uid="{00000000-0005-0000-0000-00001F480000}"/>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3" xfId="24618" xr:uid="{00000000-0005-0000-0000-000027480000}"/>
    <cellStyle name="40% - Accent5 14 2 2 2 3" xfId="13134" xr:uid="{00000000-0005-0000-0000-000028480000}"/>
    <cellStyle name="40% - Accent5 14 2 2 2 4" xfId="21089" xr:uid="{00000000-0005-0000-0000-000029480000}"/>
    <cellStyle name="40% - Accent5 14 2 2 3" xfId="6942" xr:uid="{00000000-0005-0000-0000-00002A480000}"/>
    <cellStyle name="40% - Accent5 14 2 2 3 2" xfId="14914" xr:uid="{00000000-0005-0000-0000-00002B480000}"/>
    <cellStyle name="40% - Accent5 14 2 2 3 3" xfId="22861" xr:uid="{00000000-0005-0000-0000-00002C480000}"/>
    <cellStyle name="40% - Accent5 14 2 2 4" xfId="11378" xr:uid="{00000000-0005-0000-0000-00002D480000}"/>
    <cellStyle name="40% - Accent5 14 2 2 5" xfId="19333" xr:uid="{00000000-0005-0000-0000-00002E480000}"/>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3" xfId="23740" xr:uid="{00000000-0005-0000-0000-000033480000}"/>
    <cellStyle name="40% - Accent5 14 2 3 3" xfId="12256" xr:uid="{00000000-0005-0000-0000-000034480000}"/>
    <cellStyle name="40% - Accent5 14 2 3 4" xfId="20211" xr:uid="{00000000-0005-0000-0000-000035480000}"/>
    <cellStyle name="40% - Accent5 14 2 4" xfId="6051" xr:uid="{00000000-0005-0000-0000-000036480000}"/>
    <cellStyle name="40% - Accent5 14 2 4 2" xfId="14035" xr:uid="{00000000-0005-0000-0000-000037480000}"/>
    <cellStyle name="40% - Accent5 14 2 4 3" xfId="21983" xr:uid="{00000000-0005-0000-0000-000038480000}"/>
    <cellStyle name="40% - Accent5 14 2 5" xfId="9604" xr:uid="{00000000-0005-0000-0000-000039480000}"/>
    <cellStyle name="40% - Accent5 14 2 5 2" xfId="17562" xr:uid="{00000000-0005-0000-0000-00003A480000}"/>
    <cellStyle name="40% - Accent5 14 2 5 3" xfId="25506" xr:uid="{00000000-0005-0000-0000-00003B480000}"/>
    <cellStyle name="40% - Accent5 14 2 6" xfId="10500" xr:uid="{00000000-0005-0000-0000-00003C480000}"/>
    <cellStyle name="40% - Accent5 14 2 7" xfId="18455" xr:uid="{00000000-0005-0000-0000-00003D480000}"/>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3" xfId="24617" xr:uid="{00000000-0005-0000-0000-000043480000}"/>
    <cellStyle name="40% - Accent5 14 3 2 3" xfId="13133" xr:uid="{00000000-0005-0000-0000-000044480000}"/>
    <cellStyle name="40% - Accent5 14 3 2 4" xfId="21088" xr:uid="{00000000-0005-0000-0000-000045480000}"/>
    <cellStyle name="40% - Accent5 14 3 3" xfId="6941" xr:uid="{00000000-0005-0000-0000-000046480000}"/>
    <cellStyle name="40% - Accent5 14 3 3 2" xfId="14913" xr:uid="{00000000-0005-0000-0000-000047480000}"/>
    <cellStyle name="40% - Accent5 14 3 3 3" xfId="22860" xr:uid="{00000000-0005-0000-0000-000048480000}"/>
    <cellStyle name="40% - Accent5 14 3 4" xfId="11377" xr:uid="{00000000-0005-0000-0000-000049480000}"/>
    <cellStyle name="40% - Accent5 14 3 5" xfId="19332" xr:uid="{00000000-0005-0000-0000-00004A480000}"/>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3" xfId="23739" xr:uid="{00000000-0005-0000-0000-00004F480000}"/>
    <cellStyle name="40% - Accent5 14 4 3" xfId="12255" xr:uid="{00000000-0005-0000-0000-000050480000}"/>
    <cellStyle name="40% - Accent5 14 4 4" xfId="20210" xr:uid="{00000000-0005-0000-0000-000051480000}"/>
    <cellStyle name="40% - Accent5 14 5" xfId="6050" xr:uid="{00000000-0005-0000-0000-000052480000}"/>
    <cellStyle name="40% - Accent5 14 5 2" xfId="14034" xr:uid="{00000000-0005-0000-0000-000053480000}"/>
    <cellStyle name="40% - Accent5 14 5 3" xfId="21982" xr:uid="{00000000-0005-0000-0000-000054480000}"/>
    <cellStyle name="40% - Accent5 14 6" xfId="9603" xr:uid="{00000000-0005-0000-0000-000055480000}"/>
    <cellStyle name="40% - Accent5 14 6 2" xfId="17561" xr:uid="{00000000-0005-0000-0000-000056480000}"/>
    <cellStyle name="40% - Accent5 14 6 3" xfId="25505" xr:uid="{00000000-0005-0000-0000-000057480000}"/>
    <cellStyle name="40% - Accent5 14 7" xfId="10499" xr:uid="{00000000-0005-0000-0000-000058480000}"/>
    <cellStyle name="40% - Accent5 14 8" xfId="18454" xr:uid="{00000000-0005-0000-0000-000059480000}"/>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3" xfId="24619" xr:uid="{00000000-0005-0000-0000-000060480000}"/>
    <cellStyle name="40% - Accent5 15 2 2 3" xfId="13135" xr:uid="{00000000-0005-0000-0000-000061480000}"/>
    <cellStyle name="40% - Accent5 15 2 2 4" xfId="21090" xr:uid="{00000000-0005-0000-0000-000062480000}"/>
    <cellStyle name="40% - Accent5 15 2 3" xfId="6943" xr:uid="{00000000-0005-0000-0000-000063480000}"/>
    <cellStyle name="40% - Accent5 15 2 3 2" xfId="14915" xr:uid="{00000000-0005-0000-0000-000064480000}"/>
    <cellStyle name="40% - Accent5 15 2 3 3" xfId="22862" xr:uid="{00000000-0005-0000-0000-000065480000}"/>
    <cellStyle name="40% - Accent5 15 2 4" xfId="11379" xr:uid="{00000000-0005-0000-0000-000066480000}"/>
    <cellStyle name="40% - Accent5 15 2 5" xfId="19334" xr:uid="{00000000-0005-0000-0000-000067480000}"/>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3" xfId="23741" xr:uid="{00000000-0005-0000-0000-00006C480000}"/>
    <cellStyle name="40% - Accent5 15 3 3" xfId="12257" xr:uid="{00000000-0005-0000-0000-00006D480000}"/>
    <cellStyle name="40% - Accent5 15 3 4" xfId="20212" xr:uid="{00000000-0005-0000-0000-00006E480000}"/>
    <cellStyle name="40% - Accent5 15 4" xfId="6052" xr:uid="{00000000-0005-0000-0000-00006F480000}"/>
    <cellStyle name="40% - Accent5 15 4 2" xfId="14036" xr:uid="{00000000-0005-0000-0000-000070480000}"/>
    <cellStyle name="40% - Accent5 15 4 3" xfId="21984" xr:uid="{00000000-0005-0000-0000-000071480000}"/>
    <cellStyle name="40% - Accent5 15 5" xfId="9605" xr:uid="{00000000-0005-0000-0000-000072480000}"/>
    <cellStyle name="40% - Accent5 15 5 2" xfId="17563" xr:uid="{00000000-0005-0000-0000-000073480000}"/>
    <cellStyle name="40% - Accent5 15 5 3" xfId="25507" xr:uid="{00000000-0005-0000-0000-000074480000}"/>
    <cellStyle name="40% - Accent5 15 6" xfId="10501" xr:uid="{00000000-0005-0000-0000-000075480000}"/>
    <cellStyle name="40% - Accent5 15 7" xfId="18456" xr:uid="{00000000-0005-0000-0000-000076480000}"/>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3" xfId="24821" xr:uid="{00000000-0005-0000-0000-00007D480000}"/>
    <cellStyle name="40% - Accent5 16 2 2 3" xfId="13337" xr:uid="{00000000-0005-0000-0000-00007E480000}"/>
    <cellStyle name="40% - Accent5 16 2 2 4" xfId="21292" xr:uid="{00000000-0005-0000-0000-00007F480000}"/>
    <cellStyle name="40% - Accent5 16 2 3" xfId="7145" xr:uid="{00000000-0005-0000-0000-000080480000}"/>
    <cellStyle name="40% - Accent5 16 2 3 2" xfId="15117" xr:uid="{00000000-0005-0000-0000-000081480000}"/>
    <cellStyle name="40% - Accent5 16 2 3 3" xfId="23064" xr:uid="{00000000-0005-0000-0000-000082480000}"/>
    <cellStyle name="40% - Accent5 16 2 4" xfId="11581" xr:uid="{00000000-0005-0000-0000-000083480000}"/>
    <cellStyle name="40% - Accent5 16 2 5" xfId="19536" xr:uid="{00000000-0005-0000-0000-000084480000}"/>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3" xfId="23943" xr:uid="{00000000-0005-0000-0000-000089480000}"/>
    <cellStyle name="40% - Accent5 16 3 3" xfId="12459" xr:uid="{00000000-0005-0000-0000-00008A480000}"/>
    <cellStyle name="40% - Accent5 16 3 4" xfId="20414" xr:uid="{00000000-0005-0000-0000-00008B480000}"/>
    <cellStyle name="40% - Accent5 16 4" xfId="6264" xr:uid="{00000000-0005-0000-0000-00008C480000}"/>
    <cellStyle name="40% - Accent5 16 4 2" xfId="14239" xr:uid="{00000000-0005-0000-0000-00008D480000}"/>
    <cellStyle name="40% - Accent5 16 4 3" xfId="22186" xr:uid="{00000000-0005-0000-0000-00008E480000}"/>
    <cellStyle name="40% - Accent5 16 5" xfId="9807" xr:uid="{00000000-0005-0000-0000-00008F480000}"/>
    <cellStyle name="40% - Accent5 16 5 2" xfId="17765" xr:uid="{00000000-0005-0000-0000-000090480000}"/>
    <cellStyle name="40% - Accent5 16 5 3" xfId="25709" xr:uid="{00000000-0005-0000-0000-000091480000}"/>
    <cellStyle name="40% - Accent5 16 6" xfId="10703" xr:uid="{00000000-0005-0000-0000-000092480000}"/>
    <cellStyle name="40% - Accent5 16 7" xfId="18658" xr:uid="{00000000-0005-0000-0000-000093480000}"/>
    <cellStyle name="40% - Accent5 16_Exh G" xfId="3219" xr:uid="{00000000-0005-0000-0000-000094480000}"/>
    <cellStyle name="40% - Accent5 2" xfId="554" xr:uid="{00000000-0005-0000-0000-000095480000}"/>
    <cellStyle name="40% - Accent5 2 10" xfId="18457" xr:uid="{00000000-0005-0000-0000-000096480000}"/>
    <cellStyle name="40% - Accent5 2 2" xfId="555" xr:uid="{00000000-0005-0000-0000-000097480000}"/>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3" xfId="24622" xr:uid="{00000000-0005-0000-0000-00009D480000}"/>
    <cellStyle name="40% - Accent5 2 2 2 2 2 3" xfId="13138" xr:uid="{00000000-0005-0000-0000-00009E480000}"/>
    <cellStyle name="40% - Accent5 2 2 2 2 2 4" xfId="21093" xr:uid="{00000000-0005-0000-0000-00009F480000}"/>
    <cellStyle name="40% - Accent5 2 2 2 2 3" xfId="6946" xr:uid="{00000000-0005-0000-0000-0000A0480000}"/>
    <cellStyle name="40% - Accent5 2 2 2 2 3 2" xfId="14918" xr:uid="{00000000-0005-0000-0000-0000A1480000}"/>
    <cellStyle name="40% - Accent5 2 2 2 2 3 3" xfId="22865" xr:uid="{00000000-0005-0000-0000-0000A2480000}"/>
    <cellStyle name="40% - Accent5 2 2 2 2 4" xfId="11382" xr:uid="{00000000-0005-0000-0000-0000A3480000}"/>
    <cellStyle name="40% - Accent5 2 2 2 2 5" xfId="19337" xr:uid="{00000000-0005-0000-0000-0000A4480000}"/>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3" xfId="23744" xr:uid="{00000000-0005-0000-0000-0000A9480000}"/>
    <cellStyle name="40% - Accent5 2 2 2 3 3" xfId="12260" xr:uid="{00000000-0005-0000-0000-0000AA480000}"/>
    <cellStyle name="40% - Accent5 2 2 2 3 4" xfId="20215" xr:uid="{00000000-0005-0000-0000-0000AB480000}"/>
    <cellStyle name="40% - Accent5 2 2 2 4" xfId="6055" xr:uid="{00000000-0005-0000-0000-0000AC480000}"/>
    <cellStyle name="40% - Accent5 2 2 2 4 2" xfId="14039" xr:uid="{00000000-0005-0000-0000-0000AD480000}"/>
    <cellStyle name="40% - Accent5 2 2 2 4 3" xfId="21987" xr:uid="{00000000-0005-0000-0000-0000AE480000}"/>
    <cellStyle name="40% - Accent5 2 2 2 5" xfId="9608" xr:uid="{00000000-0005-0000-0000-0000AF480000}"/>
    <cellStyle name="40% - Accent5 2 2 2 5 2" xfId="17566" xr:uid="{00000000-0005-0000-0000-0000B0480000}"/>
    <cellStyle name="40% - Accent5 2 2 2 5 3" xfId="25510" xr:uid="{00000000-0005-0000-0000-0000B1480000}"/>
    <cellStyle name="40% - Accent5 2 2 2 6" xfId="10504" xr:uid="{00000000-0005-0000-0000-0000B2480000}"/>
    <cellStyle name="40% - Accent5 2 2 2 7" xfId="18459" xr:uid="{00000000-0005-0000-0000-0000B3480000}"/>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3" xfId="24926" xr:uid="{00000000-0005-0000-0000-0000BA480000}"/>
    <cellStyle name="40% - Accent5 2 2 3 2 2 3" xfId="13442" xr:uid="{00000000-0005-0000-0000-0000BB480000}"/>
    <cellStyle name="40% - Accent5 2 2 3 2 2 4" xfId="21397" xr:uid="{00000000-0005-0000-0000-0000BC480000}"/>
    <cellStyle name="40% - Accent5 2 2 3 2 3" xfId="7250" xr:uid="{00000000-0005-0000-0000-0000BD480000}"/>
    <cellStyle name="40% - Accent5 2 2 3 2 3 2" xfId="15222" xr:uid="{00000000-0005-0000-0000-0000BE480000}"/>
    <cellStyle name="40% - Accent5 2 2 3 2 3 3" xfId="23169" xr:uid="{00000000-0005-0000-0000-0000BF480000}"/>
    <cellStyle name="40% - Accent5 2 2 3 2 4" xfId="11686" xr:uid="{00000000-0005-0000-0000-0000C0480000}"/>
    <cellStyle name="40% - Accent5 2 2 3 2 5" xfId="19641" xr:uid="{00000000-0005-0000-0000-0000C1480000}"/>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3" xfId="24048" xr:uid="{00000000-0005-0000-0000-0000C6480000}"/>
    <cellStyle name="40% - Accent5 2 2 3 3 3" xfId="12564" xr:uid="{00000000-0005-0000-0000-0000C7480000}"/>
    <cellStyle name="40% - Accent5 2 2 3 3 4" xfId="20519" xr:uid="{00000000-0005-0000-0000-0000C8480000}"/>
    <cellStyle name="40% - Accent5 2 2 3 4" xfId="6369" xr:uid="{00000000-0005-0000-0000-0000C9480000}"/>
    <cellStyle name="40% - Accent5 2 2 3 4 2" xfId="14344" xr:uid="{00000000-0005-0000-0000-0000CA480000}"/>
    <cellStyle name="40% - Accent5 2 2 3 4 3" xfId="22291" xr:uid="{00000000-0005-0000-0000-0000CB480000}"/>
    <cellStyle name="40% - Accent5 2 2 3 5" xfId="9912" xr:uid="{00000000-0005-0000-0000-0000CC480000}"/>
    <cellStyle name="40% - Accent5 2 2 3 5 2" xfId="17870" xr:uid="{00000000-0005-0000-0000-0000CD480000}"/>
    <cellStyle name="40% - Accent5 2 2 3 5 3" xfId="25814" xr:uid="{00000000-0005-0000-0000-0000CE480000}"/>
    <cellStyle name="40% - Accent5 2 2 3 6" xfId="10808" xr:uid="{00000000-0005-0000-0000-0000CF480000}"/>
    <cellStyle name="40% - Accent5 2 2 3 7" xfId="18763" xr:uid="{00000000-0005-0000-0000-0000D0480000}"/>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3" xfId="24621" xr:uid="{00000000-0005-0000-0000-0000D6480000}"/>
    <cellStyle name="40% - Accent5 2 2 4 2 3" xfId="13137" xr:uid="{00000000-0005-0000-0000-0000D7480000}"/>
    <cellStyle name="40% - Accent5 2 2 4 2 4" xfId="21092" xr:uid="{00000000-0005-0000-0000-0000D8480000}"/>
    <cellStyle name="40% - Accent5 2 2 4 3" xfId="6945" xr:uid="{00000000-0005-0000-0000-0000D9480000}"/>
    <cellStyle name="40% - Accent5 2 2 4 3 2" xfId="14917" xr:uid="{00000000-0005-0000-0000-0000DA480000}"/>
    <cellStyle name="40% - Accent5 2 2 4 3 3" xfId="22864" xr:uid="{00000000-0005-0000-0000-0000DB480000}"/>
    <cellStyle name="40% - Accent5 2 2 4 4" xfId="11381" xr:uid="{00000000-0005-0000-0000-0000DC480000}"/>
    <cellStyle name="40% - Accent5 2 2 4 5" xfId="19336" xr:uid="{00000000-0005-0000-0000-0000DD480000}"/>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3" xfId="23743" xr:uid="{00000000-0005-0000-0000-0000E2480000}"/>
    <cellStyle name="40% - Accent5 2 2 5 3" xfId="12259" xr:uid="{00000000-0005-0000-0000-0000E3480000}"/>
    <cellStyle name="40% - Accent5 2 2 5 4" xfId="20214" xr:uid="{00000000-0005-0000-0000-0000E4480000}"/>
    <cellStyle name="40% - Accent5 2 2 6" xfId="6054" xr:uid="{00000000-0005-0000-0000-0000E5480000}"/>
    <cellStyle name="40% - Accent5 2 2 6 2" xfId="14038" xr:uid="{00000000-0005-0000-0000-0000E6480000}"/>
    <cellStyle name="40% - Accent5 2 2 6 3" xfId="21986" xr:uid="{00000000-0005-0000-0000-0000E7480000}"/>
    <cellStyle name="40% - Accent5 2 2 7" xfId="9607" xr:uid="{00000000-0005-0000-0000-0000E8480000}"/>
    <cellStyle name="40% - Accent5 2 2 7 2" xfId="17565" xr:uid="{00000000-0005-0000-0000-0000E9480000}"/>
    <cellStyle name="40% - Accent5 2 2 7 3" xfId="25509" xr:uid="{00000000-0005-0000-0000-0000EA480000}"/>
    <cellStyle name="40% - Accent5 2 2 8" xfId="10503" xr:uid="{00000000-0005-0000-0000-0000EB480000}"/>
    <cellStyle name="40% - Accent5 2 2 9" xfId="18458" xr:uid="{00000000-0005-0000-0000-0000EC480000}"/>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3" xfId="24623" xr:uid="{00000000-0005-0000-0000-0000F3480000}"/>
    <cellStyle name="40% - Accent5 2 3 2 2 3" xfId="13139" xr:uid="{00000000-0005-0000-0000-0000F4480000}"/>
    <cellStyle name="40% - Accent5 2 3 2 2 4" xfId="21094" xr:uid="{00000000-0005-0000-0000-0000F5480000}"/>
    <cellStyle name="40% - Accent5 2 3 2 3" xfId="6947" xr:uid="{00000000-0005-0000-0000-0000F6480000}"/>
    <cellStyle name="40% - Accent5 2 3 2 3 2" xfId="14919" xr:uid="{00000000-0005-0000-0000-0000F7480000}"/>
    <cellStyle name="40% - Accent5 2 3 2 3 3" xfId="22866" xr:uid="{00000000-0005-0000-0000-0000F8480000}"/>
    <cellStyle name="40% - Accent5 2 3 2 4" xfId="11383" xr:uid="{00000000-0005-0000-0000-0000F9480000}"/>
    <cellStyle name="40% - Accent5 2 3 2 5" xfId="19338" xr:uid="{00000000-0005-0000-0000-0000FA480000}"/>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3" xfId="23745" xr:uid="{00000000-0005-0000-0000-0000FF480000}"/>
    <cellStyle name="40% - Accent5 2 3 3 3" xfId="12261" xr:uid="{00000000-0005-0000-0000-000000490000}"/>
    <cellStyle name="40% - Accent5 2 3 3 4" xfId="20216" xr:uid="{00000000-0005-0000-0000-000001490000}"/>
    <cellStyle name="40% - Accent5 2 3 4" xfId="6056" xr:uid="{00000000-0005-0000-0000-000002490000}"/>
    <cellStyle name="40% - Accent5 2 3 4 2" xfId="14040" xr:uid="{00000000-0005-0000-0000-000003490000}"/>
    <cellStyle name="40% - Accent5 2 3 4 3" xfId="21988" xr:uid="{00000000-0005-0000-0000-000004490000}"/>
    <cellStyle name="40% - Accent5 2 3 5" xfId="9609" xr:uid="{00000000-0005-0000-0000-000005490000}"/>
    <cellStyle name="40% - Accent5 2 3 5 2" xfId="17567" xr:uid="{00000000-0005-0000-0000-000006490000}"/>
    <cellStyle name="40% - Accent5 2 3 5 3" xfId="25511" xr:uid="{00000000-0005-0000-0000-000007490000}"/>
    <cellStyle name="40% - Accent5 2 3 6" xfId="10505" xr:uid="{00000000-0005-0000-0000-000008490000}"/>
    <cellStyle name="40% - Accent5 2 3 7" xfId="18460" xr:uid="{00000000-0005-0000-0000-000009490000}"/>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3" xfId="24925" xr:uid="{00000000-0005-0000-0000-000010490000}"/>
    <cellStyle name="40% - Accent5 2 4 2 2 3" xfId="13441" xr:uid="{00000000-0005-0000-0000-000011490000}"/>
    <cellStyle name="40% - Accent5 2 4 2 2 4" xfId="21396" xr:uid="{00000000-0005-0000-0000-000012490000}"/>
    <cellStyle name="40% - Accent5 2 4 2 3" xfId="7249" xr:uid="{00000000-0005-0000-0000-000013490000}"/>
    <cellStyle name="40% - Accent5 2 4 2 3 2" xfId="15221" xr:uid="{00000000-0005-0000-0000-000014490000}"/>
    <cellStyle name="40% - Accent5 2 4 2 3 3" xfId="23168" xr:uid="{00000000-0005-0000-0000-000015490000}"/>
    <cellStyle name="40% - Accent5 2 4 2 4" xfId="11685" xr:uid="{00000000-0005-0000-0000-000016490000}"/>
    <cellStyle name="40% - Accent5 2 4 2 5" xfId="19640" xr:uid="{00000000-0005-0000-0000-000017490000}"/>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3" xfId="24047" xr:uid="{00000000-0005-0000-0000-00001C490000}"/>
    <cellStyle name="40% - Accent5 2 4 3 3" xfId="12563" xr:uid="{00000000-0005-0000-0000-00001D490000}"/>
    <cellStyle name="40% - Accent5 2 4 3 4" xfId="20518" xr:uid="{00000000-0005-0000-0000-00001E490000}"/>
    <cellStyle name="40% - Accent5 2 4 4" xfId="6368" xr:uid="{00000000-0005-0000-0000-00001F490000}"/>
    <cellStyle name="40% - Accent5 2 4 4 2" xfId="14343" xr:uid="{00000000-0005-0000-0000-000020490000}"/>
    <cellStyle name="40% - Accent5 2 4 4 3" xfId="22290" xr:uid="{00000000-0005-0000-0000-000021490000}"/>
    <cellStyle name="40% - Accent5 2 4 5" xfId="9911" xr:uid="{00000000-0005-0000-0000-000022490000}"/>
    <cellStyle name="40% - Accent5 2 4 5 2" xfId="17869" xr:uid="{00000000-0005-0000-0000-000023490000}"/>
    <cellStyle name="40% - Accent5 2 4 5 3" xfId="25813" xr:uid="{00000000-0005-0000-0000-000024490000}"/>
    <cellStyle name="40% - Accent5 2 4 6" xfId="10807" xr:uid="{00000000-0005-0000-0000-000025490000}"/>
    <cellStyle name="40% - Accent5 2 4 7" xfId="18762" xr:uid="{00000000-0005-0000-0000-000026490000}"/>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3" xfId="24620" xr:uid="{00000000-0005-0000-0000-00002C490000}"/>
    <cellStyle name="40% - Accent5 2 5 2 3" xfId="13136" xr:uid="{00000000-0005-0000-0000-00002D490000}"/>
    <cellStyle name="40% - Accent5 2 5 2 4" xfId="21091" xr:uid="{00000000-0005-0000-0000-00002E490000}"/>
    <cellStyle name="40% - Accent5 2 5 3" xfId="6944" xr:uid="{00000000-0005-0000-0000-00002F490000}"/>
    <cellStyle name="40% - Accent5 2 5 3 2" xfId="14916" xr:uid="{00000000-0005-0000-0000-000030490000}"/>
    <cellStyle name="40% - Accent5 2 5 3 3" xfId="22863" xr:uid="{00000000-0005-0000-0000-000031490000}"/>
    <cellStyle name="40% - Accent5 2 5 4" xfId="11380" xr:uid="{00000000-0005-0000-0000-000032490000}"/>
    <cellStyle name="40% - Accent5 2 5 5" xfId="19335" xr:uid="{00000000-0005-0000-0000-000033490000}"/>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3" xfId="23742" xr:uid="{00000000-0005-0000-0000-000038490000}"/>
    <cellStyle name="40% - Accent5 2 6 3" xfId="12258" xr:uid="{00000000-0005-0000-0000-000039490000}"/>
    <cellStyle name="40% - Accent5 2 6 4" xfId="20213" xr:uid="{00000000-0005-0000-0000-00003A490000}"/>
    <cellStyle name="40% - Accent5 2 7" xfId="6053" xr:uid="{00000000-0005-0000-0000-00003B490000}"/>
    <cellStyle name="40% - Accent5 2 7 2" xfId="14037" xr:uid="{00000000-0005-0000-0000-00003C490000}"/>
    <cellStyle name="40% - Accent5 2 7 3" xfId="21985" xr:uid="{00000000-0005-0000-0000-00003D490000}"/>
    <cellStyle name="40% - Accent5 2 8" xfId="9606" xr:uid="{00000000-0005-0000-0000-00003E490000}"/>
    <cellStyle name="40% - Accent5 2 8 2" xfId="17564" xr:uid="{00000000-0005-0000-0000-00003F490000}"/>
    <cellStyle name="40% - Accent5 2 8 3" xfId="25508" xr:uid="{00000000-0005-0000-0000-000040490000}"/>
    <cellStyle name="40% - Accent5 2 9" xfId="10502" xr:uid="{00000000-0005-0000-0000-000041490000}"/>
    <cellStyle name="40% - Accent5 2_Exh G" xfId="3221" xr:uid="{00000000-0005-0000-0000-000042490000}"/>
    <cellStyle name="40% - Accent5 3" xfId="558" xr:uid="{00000000-0005-0000-0000-000043490000}"/>
    <cellStyle name="40% - Accent5 3 10" xfId="18461" xr:uid="{00000000-0005-0000-0000-000044490000}"/>
    <cellStyle name="40% - Accent5 3 2" xfId="559" xr:uid="{00000000-0005-0000-0000-000045490000}"/>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3" xfId="24626" xr:uid="{00000000-0005-0000-0000-00004B490000}"/>
    <cellStyle name="40% - Accent5 3 2 2 2 2 3" xfId="13142" xr:uid="{00000000-0005-0000-0000-00004C490000}"/>
    <cellStyle name="40% - Accent5 3 2 2 2 2 4" xfId="21097" xr:uid="{00000000-0005-0000-0000-00004D490000}"/>
    <cellStyle name="40% - Accent5 3 2 2 2 3" xfId="6950" xr:uid="{00000000-0005-0000-0000-00004E490000}"/>
    <cellStyle name="40% - Accent5 3 2 2 2 3 2" xfId="14922" xr:uid="{00000000-0005-0000-0000-00004F490000}"/>
    <cellStyle name="40% - Accent5 3 2 2 2 3 3" xfId="22869" xr:uid="{00000000-0005-0000-0000-000050490000}"/>
    <cellStyle name="40% - Accent5 3 2 2 2 4" xfId="11386" xr:uid="{00000000-0005-0000-0000-000051490000}"/>
    <cellStyle name="40% - Accent5 3 2 2 2 5" xfId="19341" xr:uid="{00000000-0005-0000-0000-000052490000}"/>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3" xfId="23748" xr:uid="{00000000-0005-0000-0000-000057490000}"/>
    <cellStyle name="40% - Accent5 3 2 2 3 3" xfId="12264" xr:uid="{00000000-0005-0000-0000-000058490000}"/>
    <cellStyle name="40% - Accent5 3 2 2 3 4" xfId="20219" xr:uid="{00000000-0005-0000-0000-000059490000}"/>
    <cellStyle name="40% - Accent5 3 2 2 4" xfId="6059" xr:uid="{00000000-0005-0000-0000-00005A490000}"/>
    <cellStyle name="40% - Accent5 3 2 2 4 2" xfId="14043" xr:uid="{00000000-0005-0000-0000-00005B490000}"/>
    <cellStyle name="40% - Accent5 3 2 2 4 3" xfId="21991" xr:uid="{00000000-0005-0000-0000-00005C490000}"/>
    <cellStyle name="40% - Accent5 3 2 2 5" xfId="9612" xr:uid="{00000000-0005-0000-0000-00005D490000}"/>
    <cellStyle name="40% - Accent5 3 2 2 5 2" xfId="17570" xr:uid="{00000000-0005-0000-0000-00005E490000}"/>
    <cellStyle name="40% - Accent5 3 2 2 5 3" xfId="25514" xr:uid="{00000000-0005-0000-0000-00005F490000}"/>
    <cellStyle name="40% - Accent5 3 2 2 6" xfId="10508" xr:uid="{00000000-0005-0000-0000-000060490000}"/>
    <cellStyle name="40% - Accent5 3 2 2 7" xfId="18463" xr:uid="{00000000-0005-0000-0000-000061490000}"/>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3" xfId="24928" xr:uid="{00000000-0005-0000-0000-000068490000}"/>
    <cellStyle name="40% - Accent5 3 2 3 2 2 3" xfId="13444" xr:uid="{00000000-0005-0000-0000-000069490000}"/>
    <cellStyle name="40% - Accent5 3 2 3 2 2 4" xfId="21399" xr:uid="{00000000-0005-0000-0000-00006A490000}"/>
    <cellStyle name="40% - Accent5 3 2 3 2 3" xfId="7252" xr:uid="{00000000-0005-0000-0000-00006B490000}"/>
    <cellStyle name="40% - Accent5 3 2 3 2 3 2" xfId="15224" xr:uid="{00000000-0005-0000-0000-00006C490000}"/>
    <cellStyle name="40% - Accent5 3 2 3 2 3 3" xfId="23171" xr:uid="{00000000-0005-0000-0000-00006D490000}"/>
    <cellStyle name="40% - Accent5 3 2 3 2 4" xfId="11688" xr:uid="{00000000-0005-0000-0000-00006E490000}"/>
    <cellStyle name="40% - Accent5 3 2 3 2 5" xfId="19643" xr:uid="{00000000-0005-0000-0000-00006F490000}"/>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3" xfId="24050" xr:uid="{00000000-0005-0000-0000-000074490000}"/>
    <cellStyle name="40% - Accent5 3 2 3 3 3" xfId="12566" xr:uid="{00000000-0005-0000-0000-000075490000}"/>
    <cellStyle name="40% - Accent5 3 2 3 3 4" xfId="20521" xr:uid="{00000000-0005-0000-0000-000076490000}"/>
    <cellStyle name="40% - Accent5 3 2 3 4" xfId="6371" xr:uid="{00000000-0005-0000-0000-000077490000}"/>
    <cellStyle name="40% - Accent5 3 2 3 4 2" xfId="14346" xr:uid="{00000000-0005-0000-0000-000078490000}"/>
    <cellStyle name="40% - Accent5 3 2 3 4 3" xfId="22293" xr:uid="{00000000-0005-0000-0000-000079490000}"/>
    <cellStyle name="40% - Accent5 3 2 3 5" xfId="9914" xr:uid="{00000000-0005-0000-0000-00007A490000}"/>
    <cellStyle name="40% - Accent5 3 2 3 5 2" xfId="17872" xr:uid="{00000000-0005-0000-0000-00007B490000}"/>
    <cellStyle name="40% - Accent5 3 2 3 5 3" xfId="25816" xr:uid="{00000000-0005-0000-0000-00007C490000}"/>
    <cellStyle name="40% - Accent5 3 2 3 6" xfId="10810" xr:uid="{00000000-0005-0000-0000-00007D490000}"/>
    <cellStyle name="40% - Accent5 3 2 3 7" xfId="18765" xr:uid="{00000000-0005-0000-0000-00007E490000}"/>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3" xfId="24625" xr:uid="{00000000-0005-0000-0000-000084490000}"/>
    <cellStyle name="40% - Accent5 3 2 4 2 3" xfId="13141" xr:uid="{00000000-0005-0000-0000-000085490000}"/>
    <cellStyle name="40% - Accent5 3 2 4 2 4" xfId="21096" xr:uid="{00000000-0005-0000-0000-000086490000}"/>
    <cellStyle name="40% - Accent5 3 2 4 3" xfId="6949" xr:uid="{00000000-0005-0000-0000-000087490000}"/>
    <cellStyle name="40% - Accent5 3 2 4 3 2" xfId="14921" xr:uid="{00000000-0005-0000-0000-000088490000}"/>
    <cellStyle name="40% - Accent5 3 2 4 3 3" xfId="22868" xr:uid="{00000000-0005-0000-0000-000089490000}"/>
    <cellStyle name="40% - Accent5 3 2 4 4" xfId="11385" xr:uid="{00000000-0005-0000-0000-00008A490000}"/>
    <cellStyle name="40% - Accent5 3 2 4 5" xfId="19340" xr:uid="{00000000-0005-0000-0000-00008B490000}"/>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3" xfId="23747" xr:uid="{00000000-0005-0000-0000-000090490000}"/>
    <cellStyle name="40% - Accent5 3 2 5 3" xfId="12263" xr:uid="{00000000-0005-0000-0000-000091490000}"/>
    <cellStyle name="40% - Accent5 3 2 5 4" xfId="20218" xr:uid="{00000000-0005-0000-0000-000092490000}"/>
    <cellStyle name="40% - Accent5 3 2 6" xfId="6058" xr:uid="{00000000-0005-0000-0000-000093490000}"/>
    <cellStyle name="40% - Accent5 3 2 6 2" xfId="14042" xr:uid="{00000000-0005-0000-0000-000094490000}"/>
    <cellStyle name="40% - Accent5 3 2 6 3" xfId="21990" xr:uid="{00000000-0005-0000-0000-000095490000}"/>
    <cellStyle name="40% - Accent5 3 2 7" xfId="9611" xr:uid="{00000000-0005-0000-0000-000096490000}"/>
    <cellStyle name="40% - Accent5 3 2 7 2" xfId="17569" xr:uid="{00000000-0005-0000-0000-000097490000}"/>
    <cellStyle name="40% - Accent5 3 2 7 3" xfId="25513" xr:uid="{00000000-0005-0000-0000-000098490000}"/>
    <cellStyle name="40% - Accent5 3 2 8" xfId="10507" xr:uid="{00000000-0005-0000-0000-000099490000}"/>
    <cellStyle name="40% - Accent5 3 2 9" xfId="18462" xr:uid="{00000000-0005-0000-0000-00009A490000}"/>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3" xfId="24627" xr:uid="{00000000-0005-0000-0000-0000A1490000}"/>
    <cellStyle name="40% - Accent5 3 3 2 2 3" xfId="13143" xr:uid="{00000000-0005-0000-0000-0000A2490000}"/>
    <cellStyle name="40% - Accent5 3 3 2 2 4" xfId="21098" xr:uid="{00000000-0005-0000-0000-0000A3490000}"/>
    <cellStyle name="40% - Accent5 3 3 2 3" xfId="6951" xr:uid="{00000000-0005-0000-0000-0000A4490000}"/>
    <cellStyle name="40% - Accent5 3 3 2 3 2" xfId="14923" xr:uid="{00000000-0005-0000-0000-0000A5490000}"/>
    <cellStyle name="40% - Accent5 3 3 2 3 3" xfId="22870" xr:uid="{00000000-0005-0000-0000-0000A6490000}"/>
    <cellStyle name="40% - Accent5 3 3 2 4" xfId="11387" xr:uid="{00000000-0005-0000-0000-0000A7490000}"/>
    <cellStyle name="40% - Accent5 3 3 2 5" xfId="19342" xr:uid="{00000000-0005-0000-0000-0000A8490000}"/>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3" xfId="23749" xr:uid="{00000000-0005-0000-0000-0000AD490000}"/>
    <cellStyle name="40% - Accent5 3 3 3 3" xfId="12265" xr:uid="{00000000-0005-0000-0000-0000AE490000}"/>
    <cellStyle name="40% - Accent5 3 3 3 4" xfId="20220" xr:uid="{00000000-0005-0000-0000-0000AF490000}"/>
    <cellStyle name="40% - Accent5 3 3 4" xfId="6060" xr:uid="{00000000-0005-0000-0000-0000B0490000}"/>
    <cellStyle name="40% - Accent5 3 3 4 2" xfId="14044" xr:uid="{00000000-0005-0000-0000-0000B1490000}"/>
    <cellStyle name="40% - Accent5 3 3 4 3" xfId="21992" xr:uid="{00000000-0005-0000-0000-0000B2490000}"/>
    <cellStyle name="40% - Accent5 3 3 5" xfId="9613" xr:uid="{00000000-0005-0000-0000-0000B3490000}"/>
    <cellStyle name="40% - Accent5 3 3 5 2" xfId="17571" xr:uid="{00000000-0005-0000-0000-0000B4490000}"/>
    <cellStyle name="40% - Accent5 3 3 5 3" xfId="25515" xr:uid="{00000000-0005-0000-0000-0000B5490000}"/>
    <cellStyle name="40% - Accent5 3 3 6" xfId="10509" xr:uid="{00000000-0005-0000-0000-0000B6490000}"/>
    <cellStyle name="40% - Accent5 3 3 7" xfId="18464" xr:uid="{00000000-0005-0000-0000-0000B7490000}"/>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3" xfId="24927" xr:uid="{00000000-0005-0000-0000-0000BE490000}"/>
    <cellStyle name="40% - Accent5 3 4 2 2 3" xfId="13443" xr:uid="{00000000-0005-0000-0000-0000BF490000}"/>
    <cellStyle name="40% - Accent5 3 4 2 2 4" xfId="21398" xr:uid="{00000000-0005-0000-0000-0000C0490000}"/>
    <cellStyle name="40% - Accent5 3 4 2 3" xfId="7251" xr:uid="{00000000-0005-0000-0000-0000C1490000}"/>
    <cellStyle name="40% - Accent5 3 4 2 3 2" xfId="15223" xr:uid="{00000000-0005-0000-0000-0000C2490000}"/>
    <cellStyle name="40% - Accent5 3 4 2 3 3" xfId="23170" xr:uid="{00000000-0005-0000-0000-0000C3490000}"/>
    <cellStyle name="40% - Accent5 3 4 2 4" xfId="11687" xr:uid="{00000000-0005-0000-0000-0000C4490000}"/>
    <cellStyle name="40% - Accent5 3 4 2 5" xfId="19642" xr:uid="{00000000-0005-0000-0000-0000C5490000}"/>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3" xfId="24049" xr:uid="{00000000-0005-0000-0000-0000CA490000}"/>
    <cellStyle name="40% - Accent5 3 4 3 3" xfId="12565" xr:uid="{00000000-0005-0000-0000-0000CB490000}"/>
    <cellStyle name="40% - Accent5 3 4 3 4" xfId="20520" xr:uid="{00000000-0005-0000-0000-0000CC490000}"/>
    <cellStyle name="40% - Accent5 3 4 4" xfId="6370" xr:uid="{00000000-0005-0000-0000-0000CD490000}"/>
    <cellStyle name="40% - Accent5 3 4 4 2" xfId="14345" xr:uid="{00000000-0005-0000-0000-0000CE490000}"/>
    <cellStyle name="40% - Accent5 3 4 4 3" xfId="22292" xr:uid="{00000000-0005-0000-0000-0000CF490000}"/>
    <cellStyle name="40% - Accent5 3 4 5" xfId="9913" xr:uid="{00000000-0005-0000-0000-0000D0490000}"/>
    <cellStyle name="40% - Accent5 3 4 5 2" xfId="17871" xr:uid="{00000000-0005-0000-0000-0000D1490000}"/>
    <cellStyle name="40% - Accent5 3 4 5 3" xfId="25815" xr:uid="{00000000-0005-0000-0000-0000D2490000}"/>
    <cellStyle name="40% - Accent5 3 4 6" xfId="10809" xr:uid="{00000000-0005-0000-0000-0000D3490000}"/>
    <cellStyle name="40% - Accent5 3 4 7" xfId="18764" xr:uid="{00000000-0005-0000-0000-0000D4490000}"/>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3" xfId="24624" xr:uid="{00000000-0005-0000-0000-0000DA490000}"/>
    <cellStyle name="40% - Accent5 3 5 2 3" xfId="13140" xr:uid="{00000000-0005-0000-0000-0000DB490000}"/>
    <cellStyle name="40% - Accent5 3 5 2 4" xfId="21095" xr:uid="{00000000-0005-0000-0000-0000DC490000}"/>
    <cellStyle name="40% - Accent5 3 5 3" xfId="6948" xr:uid="{00000000-0005-0000-0000-0000DD490000}"/>
    <cellStyle name="40% - Accent5 3 5 3 2" xfId="14920" xr:uid="{00000000-0005-0000-0000-0000DE490000}"/>
    <cellStyle name="40% - Accent5 3 5 3 3" xfId="22867" xr:uid="{00000000-0005-0000-0000-0000DF490000}"/>
    <cellStyle name="40% - Accent5 3 5 4" xfId="11384" xr:uid="{00000000-0005-0000-0000-0000E0490000}"/>
    <cellStyle name="40% - Accent5 3 5 5" xfId="19339" xr:uid="{00000000-0005-0000-0000-0000E1490000}"/>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3" xfId="23746" xr:uid="{00000000-0005-0000-0000-0000E6490000}"/>
    <cellStyle name="40% - Accent5 3 6 3" xfId="12262" xr:uid="{00000000-0005-0000-0000-0000E7490000}"/>
    <cellStyle name="40% - Accent5 3 6 4" xfId="20217" xr:uid="{00000000-0005-0000-0000-0000E8490000}"/>
    <cellStyle name="40% - Accent5 3 7" xfId="6057" xr:uid="{00000000-0005-0000-0000-0000E9490000}"/>
    <cellStyle name="40% - Accent5 3 7 2" xfId="14041" xr:uid="{00000000-0005-0000-0000-0000EA490000}"/>
    <cellStyle name="40% - Accent5 3 7 3" xfId="21989" xr:uid="{00000000-0005-0000-0000-0000EB490000}"/>
    <cellStyle name="40% - Accent5 3 8" xfId="9610" xr:uid="{00000000-0005-0000-0000-0000EC490000}"/>
    <cellStyle name="40% - Accent5 3 8 2" xfId="17568" xr:uid="{00000000-0005-0000-0000-0000ED490000}"/>
    <cellStyle name="40% - Accent5 3 8 3" xfId="25512" xr:uid="{00000000-0005-0000-0000-0000EE490000}"/>
    <cellStyle name="40% - Accent5 3 9" xfId="10506" xr:uid="{00000000-0005-0000-0000-0000EF490000}"/>
    <cellStyle name="40% - Accent5 3_Exh G" xfId="3233" xr:uid="{00000000-0005-0000-0000-0000F0490000}"/>
    <cellStyle name="40% - Accent5 4" xfId="562" xr:uid="{00000000-0005-0000-0000-0000F1490000}"/>
    <cellStyle name="40% - Accent5 4 10" xfId="18465" xr:uid="{00000000-0005-0000-0000-0000F2490000}"/>
    <cellStyle name="40% - Accent5 4 2" xfId="563" xr:uid="{00000000-0005-0000-0000-0000F3490000}"/>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3" xfId="24630" xr:uid="{00000000-0005-0000-0000-0000F9490000}"/>
    <cellStyle name="40% - Accent5 4 2 2 2 2 3" xfId="13146" xr:uid="{00000000-0005-0000-0000-0000FA490000}"/>
    <cellStyle name="40% - Accent5 4 2 2 2 2 4" xfId="21101" xr:uid="{00000000-0005-0000-0000-0000FB490000}"/>
    <cellStyle name="40% - Accent5 4 2 2 2 3" xfId="6954" xr:uid="{00000000-0005-0000-0000-0000FC490000}"/>
    <cellStyle name="40% - Accent5 4 2 2 2 3 2" xfId="14926" xr:uid="{00000000-0005-0000-0000-0000FD490000}"/>
    <cellStyle name="40% - Accent5 4 2 2 2 3 3" xfId="22873" xr:uid="{00000000-0005-0000-0000-0000FE490000}"/>
    <cellStyle name="40% - Accent5 4 2 2 2 4" xfId="11390" xr:uid="{00000000-0005-0000-0000-0000FF490000}"/>
    <cellStyle name="40% - Accent5 4 2 2 2 5" xfId="19345" xr:uid="{00000000-0005-0000-0000-0000004A0000}"/>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3" xfId="23752" xr:uid="{00000000-0005-0000-0000-0000054A0000}"/>
    <cellStyle name="40% - Accent5 4 2 2 3 3" xfId="12268" xr:uid="{00000000-0005-0000-0000-0000064A0000}"/>
    <cellStyle name="40% - Accent5 4 2 2 3 4" xfId="20223" xr:uid="{00000000-0005-0000-0000-0000074A0000}"/>
    <cellStyle name="40% - Accent5 4 2 2 4" xfId="6063" xr:uid="{00000000-0005-0000-0000-0000084A0000}"/>
    <cellStyle name="40% - Accent5 4 2 2 4 2" xfId="14047" xr:uid="{00000000-0005-0000-0000-0000094A0000}"/>
    <cellStyle name="40% - Accent5 4 2 2 4 3" xfId="21995" xr:uid="{00000000-0005-0000-0000-00000A4A0000}"/>
    <cellStyle name="40% - Accent5 4 2 2 5" xfId="9616" xr:uid="{00000000-0005-0000-0000-00000B4A0000}"/>
    <cellStyle name="40% - Accent5 4 2 2 5 2" xfId="17574" xr:uid="{00000000-0005-0000-0000-00000C4A0000}"/>
    <cellStyle name="40% - Accent5 4 2 2 5 3" xfId="25518" xr:uid="{00000000-0005-0000-0000-00000D4A0000}"/>
    <cellStyle name="40% - Accent5 4 2 2 6" xfId="10512" xr:uid="{00000000-0005-0000-0000-00000E4A0000}"/>
    <cellStyle name="40% - Accent5 4 2 2 7" xfId="18467" xr:uid="{00000000-0005-0000-0000-00000F4A0000}"/>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3" xfId="24930" xr:uid="{00000000-0005-0000-0000-0000164A0000}"/>
    <cellStyle name="40% - Accent5 4 2 3 2 2 3" xfId="13446" xr:uid="{00000000-0005-0000-0000-0000174A0000}"/>
    <cellStyle name="40% - Accent5 4 2 3 2 2 4" xfId="21401" xr:uid="{00000000-0005-0000-0000-0000184A0000}"/>
    <cellStyle name="40% - Accent5 4 2 3 2 3" xfId="7254" xr:uid="{00000000-0005-0000-0000-0000194A0000}"/>
    <cellStyle name="40% - Accent5 4 2 3 2 3 2" xfId="15226" xr:uid="{00000000-0005-0000-0000-00001A4A0000}"/>
    <cellStyle name="40% - Accent5 4 2 3 2 3 3" xfId="23173" xr:uid="{00000000-0005-0000-0000-00001B4A0000}"/>
    <cellStyle name="40% - Accent5 4 2 3 2 4" xfId="11690" xr:uid="{00000000-0005-0000-0000-00001C4A0000}"/>
    <cellStyle name="40% - Accent5 4 2 3 2 5" xfId="19645" xr:uid="{00000000-0005-0000-0000-00001D4A0000}"/>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3" xfId="24052" xr:uid="{00000000-0005-0000-0000-0000224A0000}"/>
    <cellStyle name="40% - Accent5 4 2 3 3 3" xfId="12568" xr:uid="{00000000-0005-0000-0000-0000234A0000}"/>
    <cellStyle name="40% - Accent5 4 2 3 3 4" xfId="20523" xr:uid="{00000000-0005-0000-0000-0000244A0000}"/>
    <cellStyle name="40% - Accent5 4 2 3 4" xfId="6373" xr:uid="{00000000-0005-0000-0000-0000254A0000}"/>
    <cellStyle name="40% - Accent5 4 2 3 4 2" xfId="14348" xr:uid="{00000000-0005-0000-0000-0000264A0000}"/>
    <cellStyle name="40% - Accent5 4 2 3 4 3" xfId="22295" xr:uid="{00000000-0005-0000-0000-0000274A0000}"/>
    <cellStyle name="40% - Accent5 4 2 3 5" xfId="9916" xr:uid="{00000000-0005-0000-0000-0000284A0000}"/>
    <cellStyle name="40% - Accent5 4 2 3 5 2" xfId="17874" xr:uid="{00000000-0005-0000-0000-0000294A0000}"/>
    <cellStyle name="40% - Accent5 4 2 3 5 3" xfId="25818" xr:uid="{00000000-0005-0000-0000-00002A4A0000}"/>
    <cellStyle name="40% - Accent5 4 2 3 6" xfId="10812" xr:uid="{00000000-0005-0000-0000-00002B4A0000}"/>
    <cellStyle name="40% - Accent5 4 2 3 7" xfId="18767" xr:uid="{00000000-0005-0000-0000-00002C4A0000}"/>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3" xfId="24629" xr:uid="{00000000-0005-0000-0000-0000324A0000}"/>
    <cellStyle name="40% - Accent5 4 2 4 2 3" xfId="13145" xr:uid="{00000000-0005-0000-0000-0000334A0000}"/>
    <cellStyle name="40% - Accent5 4 2 4 2 4" xfId="21100" xr:uid="{00000000-0005-0000-0000-0000344A0000}"/>
    <cellStyle name="40% - Accent5 4 2 4 3" xfId="6953" xr:uid="{00000000-0005-0000-0000-0000354A0000}"/>
    <cellStyle name="40% - Accent5 4 2 4 3 2" xfId="14925" xr:uid="{00000000-0005-0000-0000-0000364A0000}"/>
    <cellStyle name="40% - Accent5 4 2 4 3 3" xfId="22872" xr:uid="{00000000-0005-0000-0000-0000374A0000}"/>
    <cellStyle name="40% - Accent5 4 2 4 4" xfId="11389" xr:uid="{00000000-0005-0000-0000-0000384A0000}"/>
    <cellStyle name="40% - Accent5 4 2 4 5" xfId="19344" xr:uid="{00000000-0005-0000-0000-0000394A0000}"/>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3" xfId="23751" xr:uid="{00000000-0005-0000-0000-00003E4A0000}"/>
    <cellStyle name="40% - Accent5 4 2 5 3" xfId="12267" xr:uid="{00000000-0005-0000-0000-00003F4A0000}"/>
    <cellStyle name="40% - Accent5 4 2 5 4" xfId="20222" xr:uid="{00000000-0005-0000-0000-0000404A0000}"/>
    <cellStyle name="40% - Accent5 4 2 6" xfId="6062" xr:uid="{00000000-0005-0000-0000-0000414A0000}"/>
    <cellStyle name="40% - Accent5 4 2 6 2" xfId="14046" xr:uid="{00000000-0005-0000-0000-0000424A0000}"/>
    <cellStyle name="40% - Accent5 4 2 6 3" xfId="21994" xr:uid="{00000000-0005-0000-0000-0000434A0000}"/>
    <cellStyle name="40% - Accent5 4 2 7" xfId="9615" xr:uid="{00000000-0005-0000-0000-0000444A0000}"/>
    <cellStyle name="40% - Accent5 4 2 7 2" xfId="17573" xr:uid="{00000000-0005-0000-0000-0000454A0000}"/>
    <cellStyle name="40% - Accent5 4 2 7 3" xfId="25517" xr:uid="{00000000-0005-0000-0000-0000464A0000}"/>
    <cellStyle name="40% - Accent5 4 2 8" xfId="10511" xr:uid="{00000000-0005-0000-0000-0000474A0000}"/>
    <cellStyle name="40% - Accent5 4 2 9" xfId="18466" xr:uid="{00000000-0005-0000-0000-0000484A0000}"/>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3" xfId="24631" xr:uid="{00000000-0005-0000-0000-00004F4A0000}"/>
    <cellStyle name="40% - Accent5 4 3 2 2 3" xfId="13147" xr:uid="{00000000-0005-0000-0000-0000504A0000}"/>
    <cellStyle name="40% - Accent5 4 3 2 2 4" xfId="21102" xr:uid="{00000000-0005-0000-0000-0000514A0000}"/>
    <cellStyle name="40% - Accent5 4 3 2 3" xfId="6955" xr:uid="{00000000-0005-0000-0000-0000524A0000}"/>
    <cellStyle name="40% - Accent5 4 3 2 3 2" xfId="14927" xr:uid="{00000000-0005-0000-0000-0000534A0000}"/>
    <cellStyle name="40% - Accent5 4 3 2 3 3" xfId="22874" xr:uid="{00000000-0005-0000-0000-0000544A0000}"/>
    <cellStyle name="40% - Accent5 4 3 2 4" xfId="11391" xr:uid="{00000000-0005-0000-0000-0000554A0000}"/>
    <cellStyle name="40% - Accent5 4 3 2 5" xfId="19346" xr:uid="{00000000-0005-0000-0000-0000564A000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3" xfId="23753" xr:uid="{00000000-0005-0000-0000-00005B4A0000}"/>
    <cellStyle name="40% - Accent5 4 3 3 3" xfId="12269" xr:uid="{00000000-0005-0000-0000-00005C4A0000}"/>
    <cellStyle name="40% - Accent5 4 3 3 4" xfId="20224" xr:uid="{00000000-0005-0000-0000-00005D4A0000}"/>
    <cellStyle name="40% - Accent5 4 3 4" xfId="6064" xr:uid="{00000000-0005-0000-0000-00005E4A0000}"/>
    <cellStyle name="40% - Accent5 4 3 4 2" xfId="14048" xr:uid="{00000000-0005-0000-0000-00005F4A0000}"/>
    <cellStyle name="40% - Accent5 4 3 4 3" xfId="21996" xr:uid="{00000000-0005-0000-0000-0000604A0000}"/>
    <cellStyle name="40% - Accent5 4 3 5" xfId="9617" xr:uid="{00000000-0005-0000-0000-0000614A0000}"/>
    <cellStyle name="40% - Accent5 4 3 5 2" xfId="17575" xr:uid="{00000000-0005-0000-0000-0000624A0000}"/>
    <cellStyle name="40% - Accent5 4 3 5 3" xfId="25519" xr:uid="{00000000-0005-0000-0000-0000634A0000}"/>
    <cellStyle name="40% - Accent5 4 3 6" xfId="10513" xr:uid="{00000000-0005-0000-0000-0000644A0000}"/>
    <cellStyle name="40% - Accent5 4 3 7" xfId="18468" xr:uid="{00000000-0005-0000-0000-0000654A0000}"/>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3" xfId="24929" xr:uid="{00000000-0005-0000-0000-00006C4A0000}"/>
    <cellStyle name="40% - Accent5 4 4 2 2 3" xfId="13445" xr:uid="{00000000-0005-0000-0000-00006D4A0000}"/>
    <cellStyle name="40% - Accent5 4 4 2 2 4" xfId="21400" xr:uid="{00000000-0005-0000-0000-00006E4A0000}"/>
    <cellStyle name="40% - Accent5 4 4 2 3" xfId="7253" xr:uid="{00000000-0005-0000-0000-00006F4A0000}"/>
    <cellStyle name="40% - Accent5 4 4 2 3 2" xfId="15225" xr:uid="{00000000-0005-0000-0000-0000704A0000}"/>
    <cellStyle name="40% - Accent5 4 4 2 3 3" xfId="23172" xr:uid="{00000000-0005-0000-0000-0000714A0000}"/>
    <cellStyle name="40% - Accent5 4 4 2 4" xfId="11689" xr:uid="{00000000-0005-0000-0000-0000724A0000}"/>
    <cellStyle name="40% - Accent5 4 4 2 5" xfId="19644" xr:uid="{00000000-0005-0000-0000-0000734A0000}"/>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3" xfId="24051" xr:uid="{00000000-0005-0000-0000-0000784A0000}"/>
    <cellStyle name="40% - Accent5 4 4 3 3" xfId="12567" xr:uid="{00000000-0005-0000-0000-0000794A0000}"/>
    <cellStyle name="40% - Accent5 4 4 3 4" xfId="20522" xr:uid="{00000000-0005-0000-0000-00007A4A0000}"/>
    <cellStyle name="40% - Accent5 4 4 4" xfId="6372" xr:uid="{00000000-0005-0000-0000-00007B4A0000}"/>
    <cellStyle name="40% - Accent5 4 4 4 2" xfId="14347" xr:uid="{00000000-0005-0000-0000-00007C4A0000}"/>
    <cellStyle name="40% - Accent5 4 4 4 3" xfId="22294" xr:uid="{00000000-0005-0000-0000-00007D4A0000}"/>
    <cellStyle name="40% - Accent5 4 4 5" xfId="9915" xr:uid="{00000000-0005-0000-0000-00007E4A0000}"/>
    <cellStyle name="40% - Accent5 4 4 5 2" xfId="17873" xr:uid="{00000000-0005-0000-0000-00007F4A0000}"/>
    <cellStyle name="40% - Accent5 4 4 5 3" xfId="25817" xr:uid="{00000000-0005-0000-0000-0000804A0000}"/>
    <cellStyle name="40% - Accent5 4 4 6" xfId="10811" xr:uid="{00000000-0005-0000-0000-0000814A0000}"/>
    <cellStyle name="40% - Accent5 4 4 7" xfId="18766" xr:uid="{00000000-0005-0000-0000-0000824A0000}"/>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3" xfId="24628" xr:uid="{00000000-0005-0000-0000-0000884A0000}"/>
    <cellStyle name="40% - Accent5 4 5 2 3" xfId="13144" xr:uid="{00000000-0005-0000-0000-0000894A0000}"/>
    <cellStyle name="40% - Accent5 4 5 2 4" xfId="21099" xr:uid="{00000000-0005-0000-0000-00008A4A0000}"/>
    <cellStyle name="40% - Accent5 4 5 3" xfId="6952" xr:uid="{00000000-0005-0000-0000-00008B4A0000}"/>
    <cellStyle name="40% - Accent5 4 5 3 2" xfId="14924" xr:uid="{00000000-0005-0000-0000-00008C4A0000}"/>
    <cellStyle name="40% - Accent5 4 5 3 3" xfId="22871" xr:uid="{00000000-0005-0000-0000-00008D4A0000}"/>
    <cellStyle name="40% - Accent5 4 5 4" xfId="11388" xr:uid="{00000000-0005-0000-0000-00008E4A0000}"/>
    <cellStyle name="40% - Accent5 4 5 5" xfId="19343" xr:uid="{00000000-0005-0000-0000-00008F4A000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3" xfId="23750" xr:uid="{00000000-0005-0000-0000-0000944A0000}"/>
    <cellStyle name="40% - Accent5 4 6 3" xfId="12266" xr:uid="{00000000-0005-0000-0000-0000954A0000}"/>
    <cellStyle name="40% - Accent5 4 6 4" xfId="20221" xr:uid="{00000000-0005-0000-0000-0000964A0000}"/>
    <cellStyle name="40% - Accent5 4 7" xfId="6061" xr:uid="{00000000-0005-0000-0000-0000974A0000}"/>
    <cellStyle name="40% - Accent5 4 7 2" xfId="14045" xr:uid="{00000000-0005-0000-0000-0000984A0000}"/>
    <cellStyle name="40% - Accent5 4 7 3" xfId="21993" xr:uid="{00000000-0005-0000-0000-0000994A0000}"/>
    <cellStyle name="40% - Accent5 4 8" xfId="9614" xr:uid="{00000000-0005-0000-0000-00009A4A0000}"/>
    <cellStyle name="40% - Accent5 4 8 2" xfId="17572" xr:uid="{00000000-0005-0000-0000-00009B4A0000}"/>
    <cellStyle name="40% - Accent5 4 8 3" xfId="25516" xr:uid="{00000000-0005-0000-0000-00009C4A0000}"/>
    <cellStyle name="40% - Accent5 4 9" xfId="10510" xr:uid="{00000000-0005-0000-0000-00009D4A0000}"/>
    <cellStyle name="40% - Accent5 4_Exh G" xfId="3245" xr:uid="{00000000-0005-0000-0000-00009E4A0000}"/>
    <cellStyle name="40% - Accent5 5" xfId="566" xr:uid="{00000000-0005-0000-0000-00009F4A0000}"/>
    <cellStyle name="40% - Accent5 5 10" xfId="18469" xr:uid="{00000000-0005-0000-0000-0000A04A0000}"/>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3" xfId="24634" xr:uid="{00000000-0005-0000-0000-0000A74A0000}"/>
    <cellStyle name="40% - Accent5 5 2 2 2 2 3" xfId="13150" xr:uid="{00000000-0005-0000-0000-0000A84A0000}"/>
    <cellStyle name="40% - Accent5 5 2 2 2 2 4" xfId="21105" xr:uid="{00000000-0005-0000-0000-0000A94A0000}"/>
    <cellStyle name="40% - Accent5 5 2 2 2 3" xfId="6958" xr:uid="{00000000-0005-0000-0000-0000AA4A0000}"/>
    <cellStyle name="40% - Accent5 5 2 2 2 3 2" xfId="14930" xr:uid="{00000000-0005-0000-0000-0000AB4A0000}"/>
    <cellStyle name="40% - Accent5 5 2 2 2 3 3" xfId="22877" xr:uid="{00000000-0005-0000-0000-0000AC4A0000}"/>
    <cellStyle name="40% - Accent5 5 2 2 2 4" xfId="11394" xr:uid="{00000000-0005-0000-0000-0000AD4A0000}"/>
    <cellStyle name="40% - Accent5 5 2 2 2 5" xfId="19349" xr:uid="{00000000-0005-0000-0000-0000AE4A000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3" xfId="23756" xr:uid="{00000000-0005-0000-0000-0000B34A0000}"/>
    <cellStyle name="40% - Accent5 5 2 2 3 3" xfId="12272" xr:uid="{00000000-0005-0000-0000-0000B44A0000}"/>
    <cellStyle name="40% - Accent5 5 2 2 3 4" xfId="20227" xr:uid="{00000000-0005-0000-0000-0000B54A0000}"/>
    <cellStyle name="40% - Accent5 5 2 2 4" xfId="6067" xr:uid="{00000000-0005-0000-0000-0000B64A0000}"/>
    <cellStyle name="40% - Accent5 5 2 2 4 2" xfId="14051" xr:uid="{00000000-0005-0000-0000-0000B74A0000}"/>
    <cellStyle name="40% - Accent5 5 2 2 4 3" xfId="21999" xr:uid="{00000000-0005-0000-0000-0000B84A0000}"/>
    <cellStyle name="40% - Accent5 5 2 2 5" xfId="9620" xr:uid="{00000000-0005-0000-0000-0000B94A0000}"/>
    <cellStyle name="40% - Accent5 5 2 2 5 2" xfId="17578" xr:uid="{00000000-0005-0000-0000-0000BA4A0000}"/>
    <cellStyle name="40% - Accent5 5 2 2 5 3" xfId="25522" xr:uid="{00000000-0005-0000-0000-0000BB4A0000}"/>
    <cellStyle name="40% - Accent5 5 2 2 6" xfId="10516" xr:uid="{00000000-0005-0000-0000-0000BC4A0000}"/>
    <cellStyle name="40% - Accent5 5 2 2 7" xfId="18471" xr:uid="{00000000-0005-0000-0000-0000BD4A0000}"/>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3" xfId="24633" xr:uid="{00000000-0005-0000-0000-0000C34A0000}"/>
    <cellStyle name="40% - Accent5 5 2 3 2 3" xfId="13149" xr:uid="{00000000-0005-0000-0000-0000C44A0000}"/>
    <cellStyle name="40% - Accent5 5 2 3 2 4" xfId="21104" xr:uid="{00000000-0005-0000-0000-0000C54A0000}"/>
    <cellStyle name="40% - Accent5 5 2 3 3" xfId="6957" xr:uid="{00000000-0005-0000-0000-0000C64A0000}"/>
    <cellStyle name="40% - Accent5 5 2 3 3 2" xfId="14929" xr:uid="{00000000-0005-0000-0000-0000C74A0000}"/>
    <cellStyle name="40% - Accent5 5 2 3 3 3" xfId="22876" xr:uid="{00000000-0005-0000-0000-0000C84A0000}"/>
    <cellStyle name="40% - Accent5 5 2 3 4" xfId="11393" xr:uid="{00000000-0005-0000-0000-0000C94A0000}"/>
    <cellStyle name="40% - Accent5 5 2 3 5" xfId="19348" xr:uid="{00000000-0005-0000-0000-0000CA4A0000}"/>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3" xfId="23755" xr:uid="{00000000-0005-0000-0000-0000CF4A0000}"/>
    <cellStyle name="40% - Accent5 5 2 4 3" xfId="12271" xr:uid="{00000000-0005-0000-0000-0000D04A0000}"/>
    <cellStyle name="40% - Accent5 5 2 4 4" xfId="20226" xr:uid="{00000000-0005-0000-0000-0000D14A0000}"/>
    <cellStyle name="40% - Accent5 5 2 5" xfId="6066" xr:uid="{00000000-0005-0000-0000-0000D24A0000}"/>
    <cellStyle name="40% - Accent5 5 2 5 2" xfId="14050" xr:uid="{00000000-0005-0000-0000-0000D34A0000}"/>
    <cellStyle name="40% - Accent5 5 2 5 3" xfId="21998" xr:uid="{00000000-0005-0000-0000-0000D44A0000}"/>
    <cellStyle name="40% - Accent5 5 2 6" xfId="9619" xr:uid="{00000000-0005-0000-0000-0000D54A0000}"/>
    <cellStyle name="40% - Accent5 5 2 6 2" xfId="17577" xr:uid="{00000000-0005-0000-0000-0000D64A0000}"/>
    <cellStyle name="40% - Accent5 5 2 6 3" xfId="25521" xr:uid="{00000000-0005-0000-0000-0000D74A0000}"/>
    <cellStyle name="40% - Accent5 5 2 7" xfId="10515" xr:uid="{00000000-0005-0000-0000-0000D84A0000}"/>
    <cellStyle name="40% - Accent5 5 2 8" xfId="18470" xr:uid="{00000000-0005-0000-0000-0000D94A0000}"/>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3" xfId="24635" xr:uid="{00000000-0005-0000-0000-0000E04A0000}"/>
    <cellStyle name="40% - Accent5 5 3 2 2 3" xfId="13151" xr:uid="{00000000-0005-0000-0000-0000E14A0000}"/>
    <cellStyle name="40% - Accent5 5 3 2 2 4" xfId="21106" xr:uid="{00000000-0005-0000-0000-0000E24A0000}"/>
    <cellStyle name="40% - Accent5 5 3 2 3" xfId="6959" xr:uid="{00000000-0005-0000-0000-0000E34A0000}"/>
    <cellStyle name="40% - Accent5 5 3 2 3 2" xfId="14931" xr:uid="{00000000-0005-0000-0000-0000E44A0000}"/>
    <cellStyle name="40% - Accent5 5 3 2 3 3" xfId="22878" xr:uid="{00000000-0005-0000-0000-0000E54A0000}"/>
    <cellStyle name="40% - Accent5 5 3 2 4" xfId="11395" xr:uid="{00000000-0005-0000-0000-0000E64A0000}"/>
    <cellStyle name="40% - Accent5 5 3 2 5" xfId="19350" xr:uid="{00000000-0005-0000-0000-0000E74A0000}"/>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3" xfId="23757" xr:uid="{00000000-0005-0000-0000-0000EC4A0000}"/>
    <cellStyle name="40% - Accent5 5 3 3 3" xfId="12273" xr:uid="{00000000-0005-0000-0000-0000ED4A0000}"/>
    <cellStyle name="40% - Accent5 5 3 3 4" xfId="20228" xr:uid="{00000000-0005-0000-0000-0000EE4A0000}"/>
    <cellStyle name="40% - Accent5 5 3 4" xfId="6068" xr:uid="{00000000-0005-0000-0000-0000EF4A0000}"/>
    <cellStyle name="40% - Accent5 5 3 4 2" xfId="14052" xr:uid="{00000000-0005-0000-0000-0000F04A0000}"/>
    <cellStyle name="40% - Accent5 5 3 4 3" xfId="22000" xr:uid="{00000000-0005-0000-0000-0000F14A0000}"/>
    <cellStyle name="40% - Accent5 5 3 5" xfId="9621" xr:uid="{00000000-0005-0000-0000-0000F24A0000}"/>
    <cellStyle name="40% - Accent5 5 3 5 2" xfId="17579" xr:uid="{00000000-0005-0000-0000-0000F34A0000}"/>
    <cellStyle name="40% - Accent5 5 3 5 3" xfId="25523" xr:uid="{00000000-0005-0000-0000-0000F44A0000}"/>
    <cellStyle name="40% - Accent5 5 3 6" xfId="10517" xr:uid="{00000000-0005-0000-0000-0000F54A0000}"/>
    <cellStyle name="40% - Accent5 5 3 7" xfId="18472" xr:uid="{00000000-0005-0000-0000-0000F64A0000}"/>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3" xfId="24632" xr:uid="{00000000-0005-0000-0000-0000FD4A0000}"/>
    <cellStyle name="40% - Accent5 5 5 2 3" xfId="13148" xr:uid="{00000000-0005-0000-0000-0000FE4A0000}"/>
    <cellStyle name="40% - Accent5 5 5 2 4" xfId="21103" xr:uid="{00000000-0005-0000-0000-0000FF4A0000}"/>
    <cellStyle name="40% - Accent5 5 5 3" xfId="6956" xr:uid="{00000000-0005-0000-0000-0000004B0000}"/>
    <cellStyle name="40% - Accent5 5 5 3 2" xfId="14928" xr:uid="{00000000-0005-0000-0000-0000014B0000}"/>
    <cellStyle name="40% - Accent5 5 5 3 3" xfId="22875" xr:uid="{00000000-0005-0000-0000-0000024B0000}"/>
    <cellStyle name="40% - Accent5 5 5 4" xfId="11392" xr:uid="{00000000-0005-0000-0000-0000034B0000}"/>
    <cellStyle name="40% - Accent5 5 5 5" xfId="19347" xr:uid="{00000000-0005-0000-0000-0000044B0000}"/>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3" xfId="23754" xr:uid="{00000000-0005-0000-0000-0000094B0000}"/>
    <cellStyle name="40% - Accent5 5 6 3" xfId="12270" xr:uid="{00000000-0005-0000-0000-00000A4B0000}"/>
    <cellStyle name="40% - Accent5 5 6 4" xfId="20225" xr:uid="{00000000-0005-0000-0000-00000B4B0000}"/>
    <cellStyle name="40% - Accent5 5 7" xfId="6065" xr:uid="{00000000-0005-0000-0000-00000C4B0000}"/>
    <cellStyle name="40% - Accent5 5 7 2" xfId="14049" xr:uid="{00000000-0005-0000-0000-00000D4B0000}"/>
    <cellStyle name="40% - Accent5 5 7 3" xfId="21997" xr:uid="{00000000-0005-0000-0000-00000E4B0000}"/>
    <cellStyle name="40% - Accent5 5 8" xfId="9618" xr:uid="{00000000-0005-0000-0000-00000F4B0000}"/>
    <cellStyle name="40% - Accent5 5 8 2" xfId="17576" xr:uid="{00000000-0005-0000-0000-0000104B0000}"/>
    <cellStyle name="40% - Accent5 5 8 3" xfId="25520" xr:uid="{00000000-0005-0000-0000-0000114B0000}"/>
    <cellStyle name="40% - Accent5 5 9" xfId="10514" xr:uid="{00000000-0005-0000-0000-0000124B0000}"/>
    <cellStyle name="40% - Accent5 5_Exh G" xfId="3257" xr:uid="{00000000-0005-0000-0000-0000134B0000}"/>
    <cellStyle name="40% - Accent5 6" xfId="570" xr:uid="{00000000-0005-0000-0000-0000144B0000}"/>
    <cellStyle name="40% - Accent5 6 10" xfId="18473" xr:uid="{00000000-0005-0000-0000-0000154B000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3" xfId="24638" xr:uid="{00000000-0005-0000-0000-00001C4B0000}"/>
    <cellStyle name="40% - Accent5 6 2 2 2 2 3" xfId="13154" xr:uid="{00000000-0005-0000-0000-00001D4B0000}"/>
    <cellStyle name="40% - Accent5 6 2 2 2 2 4" xfId="21109" xr:uid="{00000000-0005-0000-0000-00001E4B0000}"/>
    <cellStyle name="40% - Accent5 6 2 2 2 3" xfId="6962" xr:uid="{00000000-0005-0000-0000-00001F4B0000}"/>
    <cellStyle name="40% - Accent5 6 2 2 2 3 2" xfId="14934" xr:uid="{00000000-0005-0000-0000-0000204B0000}"/>
    <cellStyle name="40% - Accent5 6 2 2 2 3 3" xfId="22881" xr:uid="{00000000-0005-0000-0000-0000214B0000}"/>
    <cellStyle name="40% - Accent5 6 2 2 2 4" xfId="11398" xr:uid="{00000000-0005-0000-0000-0000224B0000}"/>
    <cellStyle name="40% - Accent5 6 2 2 2 5" xfId="19353" xr:uid="{00000000-0005-0000-0000-0000234B0000}"/>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3" xfId="23760" xr:uid="{00000000-0005-0000-0000-0000284B0000}"/>
    <cellStyle name="40% - Accent5 6 2 2 3 3" xfId="12276" xr:uid="{00000000-0005-0000-0000-0000294B0000}"/>
    <cellStyle name="40% - Accent5 6 2 2 3 4" xfId="20231" xr:uid="{00000000-0005-0000-0000-00002A4B0000}"/>
    <cellStyle name="40% - Accent5 6 2 2 4" xfId="6071" xr:uid="{00000000-0005-0000-0000-00002B4B0000}"/>
    <cellStyle name="40% - Accent5 6 2 2 4 2" xfId="14055" xr:uid="{00000000-0005-0000-0000-00002C4B0000}"/>
    <cellStyle name="40% - Accent5 6 2 2 4 3" xfId="22003" xr:uid="{00000000-0005-0000-0000-00002D4B0000}"/>
    <cellStyle name="40% - Accent5 6 2 2 5" xfId="9624" xr:uid="{00000000-0005-0000-0000-00002E4B0000}"/>
    <cellStyle name="40% - Accent5 6 2 2 5 2" xfId="17582" xr:uid="{00000000-0005-0000-0000-00002F4B0000}"/>
    <cellStyle name="40% - Accent5 6 2 2 5 3" xfId="25526" xr:uid="{00000000-0005-0000-0000-0000304B0000}"/>
    <cellStyle name="40% - Accent5 6 2 2 6" xfId="10520" xr:uid="{00000000-0005-0000-0000-0000314B0000}"/>
    <cellStyle name="40% - Accent5 6 2 2 7" xfId="18475" xr:uid="{00000000-0005-0000-0000-0000324B0000}"/>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3" xfId="24637" xr:uid="{00000000-0005-0000-0000-0000384B0000}"/>
    <cellStyle name="40% - Accent5 6 2 3 2 3" xfId="13153" xr:uid="{00000000-0005-0000-0000-0000394B0000}"/>
    <cellStyle name="40% - Accent5 6 2 3 2 4" xfId="21108" xr:uid="{00000000-0005-0000-0000-00003A4B0000}"/>
    <cellStyle name="40% - Accent5 6 2 3 3" xfId="6961" xr:uid="{00000000-0005-0000-0000-00003B4B0000}"/>
    <cellStyle name="40% - Accent5 6 2 3 3 2" xfId="14933" xr:uid="{00000000-0005-0000-0000-00003C4B0000}"/>
    <cellStyle name="40% - Accent5 6 2 3 3 3" xfId="22880" xr:uid="{00000000-0005-0000-0000-00003D4B0000}"/>
    <cellStyle name="40% - Accent5 6 2 3 4" xfId="11397" xr:uid="{00000000-0005-0000-0000-00003E4B0000}"/>
    <cellStyle name="40% - Accent5 6 2 3 5" xfId="19352" xr:uid="{00000000-0005-0000-0000-00003F4B0000}"/>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3" xfId="23759" xr:uid="{00000000-0005-0000-0000-0000444B0000}"/>
    <cellStyle name="40% - Accent5 6 2 4 3" xfId="12275" xr:uid="{00000000-0005-0000-0000-0000454B0000}"/>
    <cellStyle name="40% - Accent5 6 2 4 4" xfId="20230" xr:uid="{00000000-0005-0000-0000-0000464B0000}"/>
    <cellStyle name="40% - Accent5 6 2 5" xfId="6070" xr:uid="{00000000-0005-0000-0000-0000474B0000}"/>
    <cellStyle name="40% - Accent5 6 2 5 2" xfId="14054" xr:uid="{00000000-0005-0000-0000-0000484B0000}"/>
    <cellStyle name="40% - Accent5 6 2 5 3" xfId="22002" xr:uid="{00000000-0005-0000-0000-0000494B0000}"/>
    <cellStyle name="40% - Accent5 6 2 6" xfId="9623" xr:uid="{00000000-0005-0000-0000-00004A4B0000}"/>
    <cellStyle name="40% - Accent5 6 2 6 2" xfId="17581" xr:uid="{00000000-0005-0000-0000-00004B4B0000}"/>
    <cellStyle name="40% - Accent5 6 2 6 3" xfId="25525" xr:uid="{00000000-0005-0000-0000-00004C4B0000}"/>
    <cellStyle name="40% - Accent5 6 2 7" xfId="10519" xr:uid="{00000000-0005-0000-0000-00004D4B0000}"/>
    <cellStyle name="40% - Accent5 6 2 8" xfId="18474" xr:uid="{00000000-0005-0000-0000-00004E4B000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3" xfId="24639" xr:uid="{00000000-0005-0000-0000-0000554B0000}"/>
    <cellStyle name="40% - Accent5 6 3 2 2 3" xfId="13155" xr:uid="{00000000-0005-0000-0000-0000564B0000}"/>
    <cellStyle name="40% - Accent5 6 3 2 2 4" xfId="21110" xr:uid="{00000000-0005-0000-0000-0000574B0000}"/>
    <cellStyle name="40% - Accent5 6 3 2 3" xfId="6963" xr:uid="{00000000-0005-0000-0000-0000584B0000}"/>
    <cellStyle name="40% - Accent5 6 3 2 3 2" xfId="14935" xr:uid="{00000000-0005-0000-0000-0000594B0000}"/>
    <cellStyle name="40% - Accent5 6 3 2 3 3" xfId="22882" xr:uid="{00000000-0005-0000-0000-00005A4B0000}"/>
    <cellStyle name="40% - Accent5 6 3 2 4" xfId="11399" xr:uid="{00000000-0005-0000-0000-00005B4B0000}"/>
    <cellStyle name="40% - Accent5 6 3 2 5" xfId="19354" xr:uid="{00000000-0005-0000-0000-00005C4B0000}"/>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3" xfId="23761" xr:uid="{00000000-0005-0000-0000-0000614B0000}"/>
    <cellStyle name="40% - Accent5 6 3 3 3" xfId="12277" xr:uid="{00000000-0005-0000-0000-0000624B0000}"/>
    <cellStyle name="40% - Accent5 6 3 3 4" xfId="20232" xr:uid="{00000000-0005-0000-0000-0000634B0000}"/>
    <cellStyle name="40% - Accent5 6 3 4" xfId="6072" xr:uid="{00000000-0005-0000-0000-0000644B0000}"/>
    <cellStyle name="40% - Accent5 6 3 4 2" xfId="14056" xr:uid="{00000000-0005-0000-0000-0000654B0000}"/>
    <cellStyle name="40% - Accent5 6 3 4 3" xfId="22004" xr:uid="{00000000-0005-0000-0000-0000664B0000}"/>
    <cellStyle name="40% - Accent5 6 3 5" xfId="9625" xr:uid="{00000000-0005-0000-0000-0000674B0000}"/>
    <cellStyle name="40% - Accent5 6 3 5 2" xfId="17583" xr:uid="{00000000-0005-0000-0000-0000684B0000}"/>
    <cellStyle name="40% - Accent5 6 3 5 3" xfId="25527" xr:uid="{00000000-0005-0000-0000-0000694B0000}"/>
    <cellStyle name="40% - Accent5 6 3 6" xfId="10521" xr:uid="{00000000-0005-0000-0000-00006A4B0000}"/>
    <cellStyle name="40% - Accent5 6 3 7" xfId="18476" xr:uid="{00000000-0005-0000-0000-00006B4B0000}"/>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3" xfId="24931" xr:uid="{00000000-0005-0000-0000-0000724B0000}"/>
    <cellStyle name="40% - Accent5 6 4 2 2 3" xfId="13447" xr:uid="{00000000-0005-0000-0000-0000734B0000}"/>
    <cellStyle name="40% - Accent5 6 4 2 2 4" xfId="21402" xr:uid="{00000000-0005-0000-0000-0000744B0000}"/>
    <cellStyle name="40% - Accent5 6 4 2 3" xfId="7255" xr:uid="{00000000-0005-0000-0000-0000754B0000}"/>
    <cellStyle name="40% - Accent5 6 4 2 3 2" xfId="15227" xr:uid="{00000000-0005-0000-0000-0000764B0000}"/>
    <cellStyle name="40% - Accent5 6 4 2 3 3" xfId="23174" xr:uid="{00000000-0005-0000-0000-0000774B0000}"/>
    <cellStyle name="40% - Accent5 6 4 2 4" xfId="11691" xr:uid="{00000000-0005-0000-0000-0000784B0000}"/>
    <cellStyle name="40% - Accent5 6 4 2 5" xfId="19646" xr:uid="{00000000-0005-0000-0000-0000794B0000}"/>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3" xfId="24053" xr:uid="{00000000-0005-0000-0000-00007E4B0000}"/>
    <cellStyle name="40% - Accent5 6 4 3 3" xfId="12569" xr:uid="{00000000-0005-0000-0000-00007F4B0000}"/>
    <cellStyle name="40% - Accent5 6 4 3 4" xfId="20524" xr:uid="{00000000-0005-0000-0000-0000804B0000}"/>
    <cellStyle name="40% - Accent5 6 4 4" xfId="6374" xr:uid="{00000000-0005-0000-0000-0000814B0000}"/>
    <cellStyle name="40% - Accent5 6 4 4 2" xfId="14349" xr:uid="{00000000-0005-0000-0000-0000824B0000}"/>
    <cellStyle name="40% - Accent5 6 4 4 3" xfId="22296" xr:uid="{00000000-0005-0000-0000-0000834B0000}"/>
    <cellStyle name="40% - Accent5 6 4 5" xfId="9917" xr:uid="{00000000-0005-0000-0000-0000844B0000}"/>
    <cellStyle name="40% - Accent5 6 4 5 2" xfId="17875" xr:uid="{00000000-0005-0000-0000-0000854B0000}"/>
    <cellStyle name="40% - Accent5 6 4 5 3" xfId="25819" xr:uid="{00000000-0005-0000-0000-0000864B0000}"/>
    <cellStyle name="40% - Accent5 6 4 6" xfId="10813" xr:uid="{00000000-0005-0000-0000-0000874B0000}"/>
    <cellStyle name="40% - Accent5 6 4 7" xfId="18768" xr:uid="{00000000-0005-0000-0000-0000884B0000}"/>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3" xfId="24636" xr:uid="{00000000-0005-0000-0000-00008E4B0000}"/>
    <cellStyle name="40% - Accent5 6 5 2 3" xfId="13152" xr:uid="{00000000-0005-0000-0000-00008F4B0000}"/>
    <cellStyle name="40% - Accent5 6 5 2 4" xfId="21107" xr:uid="{00000000-0005-0000-0000-0000904B0000}"/>
    <cellStyle name="40% - Accent5 6 5 3" xfId="6960" xr:uid="{00000000-0005-0000-0000-0000914B0000}"/>
    <cellStyle name="40% - Accent5 6 5 3 2" xfId="14932" xr:uid="{00000000-0005-0000-0000-0000924B0000}"/>
    <cellStyle name="40% - Accent5 6 5 3 3" xfId="22879" xr:uid="{00000000-0005-0000-0000-0000934B0000}"/>
    <cellStyle name="40% - Accent5 6 5 4" xfId="11396" xr:uid="{00000000-0005-0000-0000-0000944B0000}"/>
    <cellStyle name="40% - Accent5 6 5 5" xfId="19351" xr:uid="{00000000-0005-0000-0000-0000954B0000}"/>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3" xfId="23758" xr:uid="{00000000-0005-0000-0000-00009A4B0000}"/>
    <cellStyle name="40% - Accent5 6 6 3" xfId="12274" xr:uid="{00000000-0005-0000-0000-00009B4B0000}"/>
    <cellStyle name="40% - Accent5 6 6 4" xfId="20229" xr:uid="{00000000-0005-0000-0000-00009C4B0000}"/>
    <cellStyle name="40% - Accent5 6 7" xfId="6069" xr:uid="{00000000-0005-0000-0000-00009D4B0000}"/>
    <cellStyle name="40% - Accent5 6 7 2" xfId="14053" xr:uid="{00000000-0005-0000-0000-00009E4B0000}"/>
    <cellStyle name="40% - Accent5 6 7 3" xfId="22001" xr:uid="{00000000-0005-0000-0000-00009F4B0000}"/>
    <cellStyle name="40% - Accent5 6 8" xfId="9622" xr:uid="{00000000-0005-0000-0000-0000A04B0000}"/>
    <cellStyle name="40% - Accent5 6 8 2" xfId="17580" xr:uid="{00000000-0005-0000-0000-0000A14B0000}"/>
    <cellStyle name="40% - Accent5 6 8 3" xfId="25524" xr:uid="{00000000-0005-0000-0000-0000A24B0000}"/>
    <cellStyle name="40% - Accent5 6 9" xfId="10518" xr:uid="{00000000-0005-0000-0000-0000A34B0000}"/>
    <cellStyle name="40% - Accent5 6_Exh G" xfId="3265" xr:uid="{00000000-0005-0000-0000-0000A44B0000}"/>
    <cellStyle name="40% - Accent5 7" xfId="574" xr:uid="{00000000-0005-0000-0000-0000A54B0000}"/>
    <cellStyle name="40% - Accent5 7 10" xfId="18477" xr:uid="{00000000-0005-0000-0000-0000A64B0000}"/>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3" xfId="24642" xr:uid="{00000000-0005-0000-0000-0000AD4B0000}"/>
    <cellStyle name="40% - Accent5 7 2 2 2 2 3" xfId="13158" xr:uid="{00000000-0005-0000-0000-0000AE4B0000}"/>
    <cellStyle name="40% - Accent5 7 2 2 2 2 4" xfId="21113" xr:uid="{00000000-0005-0000-0000-0000AF4B0000}"/>
    <cellStyle name="40% - Accent5 7 2 2 2 3" xfId="6966" xr:uid="{00000000-0005-0000-0000-0000B04B0000}"/>
    <cellStyle name="40% - Accent5 7 2 2 2 3 2" xfId="14938" xr:uid="{00000000-0005-0000-0000-0000B14B0000}"/>
    <cellStyle name="40% - Accent5 7 2 2 2 3 3" xfId="22885" xr:uid="{00000000-0005-0000-0000-0000B24B0000}"/>
    <cellStyle name="40% - Accent5 7 2 2 2 4" xfId="11402" xr:uid="{00000000-0005-0000-0000-0000B34B0000}"/>
    <cellStyle name="40% - Accent5 7 2 2 2 5" xfId="19357" xr:uid="{00000000-0005-0000-0000-0000B44B0000}"/>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3" xfId="23764" xr:uid="{00000000-0005-0000-0000-0000B94B0000}"/>
    <cellStyle name="40% - Accent5 7 2 2 3 3" xfId="12280" xr:uid="{00000000-0005-0000-0000-0000BA4B0000}"/>
    <cellStyle name="40% - Accent5 7 2 2 3 4" xfId="20235" xr:uid="{00000000-0005-0000-0000-0000BB4B0000}"/>
    <cellStyle name="40% - Accent5 7 2 2 4" xfId="6075" xr:uid="{00000000-0005-0000-0000-0000BC4B0000}"/>
    <cellStyle name="40% - Accent5 7 2 2 4 2" xfId="14059" xr:uid="{00000000-0005-0000-0000-0000BD4B0000}"/>
    <cellStyle name="40% - Accent5 7 2 2 4 3" xfId="22007" xr:uid="{00000000-0005-0000-0000-0000BE4B0000}"/>
    <cellStyle name="40% - Accent5 7 2 2 5" xfId="9628" xr:uid="{00000000-0005-0000-0000-0000BF4B0000}"/>
    <cellStyle name="40% - Accent5 7 2 2 5 2" xfId="17586" xr:uid="{00000000-0005-0000-0000-0000C04B0000}"/>
    <cellStyle name="40% - Accent5 7 2 2 5 3" xfId="25530" xr:uid="{00000000-0005-0000-0000-0000C14B0000}"/>
    <cellStyle name="40% - Accent5 7 2 2 6" xfId="10524" xr:uid="{00000000-0005-0000-0000-0000C24B0000}"/>
    <cellStyle name="40% - Accent5 7 2 2 7" xfId="18479" xr:uid="{00000000-0005-0000-0000-0000C34B0000}"/>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3" xfId="24641" xr:uid="{00000000-0005-0000-0000-0000C94B0000}"/>
    <cellStyle name="40% - Accent5 7 2 3 2 3" xfId="13157" xr:uid="{00000000-0005-0000-0000-0000CA4B0000}"/>
    <cellStyle name="40% - Accent5 7 2 3 2 4" xfId="21112" xr:uid="{00000000-0005-0000-0000-0000CB4B0000}"/>
    <cellStyle name="40% - Accent5 7 2 3 3" xfId="6965" xr:uid="{00000000-0005-0000-0000-0000CC4B0000}"/>
    <cellStyle name="40% - Accent5 7 2 3 3 2" xfId="14937" xr:uid="{00000000-0005-0000-0000-0000CD4B0000}"/>
    <cellStyle name="40% - Accent5 7 2 3 3 3" xfId="22884" xr:uid="{00000000-0005-0000-0000-0000CE4B0000}"/>
    <cellStyle name="40% - Accent5 7 2 3 4" xfId="11401" xr:uid="{00000000-0005-0000-0000-0000CF4B0000}"/>
    <cellStyle name="40% - Accent5 7 2 3 5" xfId="19356" xr:uid="{00000000-0005-0000-0000-0000D04B000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3" xfId="23763" xr:uid="{00000000-0005-0000-0000-0000D54B0000}"/>
    <cellStyle name="40% - Accent5 7 2 4 3" xfId="12279" xr:uid="{00000000-0005-0000-0000-0000D64B0000}"/>
    <cellStyle name="40% - Accent5 7 2 4 4" xfId="20234" xr:uid="{00000000-0005-0000-0000-0000D74B0000}"/>
    <cellStyle name="40% - Accent5 7 2 5" xfId="6074" xr:uid="{00000000-0005-0000-0000-0000D84B0000}"/>
    <cellStyle name="40% - Accent5 7 2 5 2" xfId="14058" xr:uid="{00000000-0005-0000-0000-0000D94B0000}"/>
    <cellStyle name="40% - Accent5 7 2 5 3" xfId="22006" xr:uid="{00000000-0005-0000-0000-0000DA4B0000}"/>
    <cellStyle name="40% - Accent5 7 2 6" xfId="9627" xr:uid="{00000000-0005-0000-0000-0000DB4B0000}"/>
    <cellStyle name="40% - Accent5 7 2 6 2" xfId="17585" xr:uid="{00000000-0005-0000-0000-0000DC4B0000}"/>
    <cellStyle name="40% - Accent5 7 2 6 3" xfId="25529" xr:uid="{00000000-0005-0000-0000-0000DD4B0000}"/>
    <cellStyle name="40% - Accent5 7 2 7" xfId="10523" xr:uid="{00000000-0005-0000-0000-0000DE4B0000}"/>
    <cellStyle name="40% - Accent5 7 2 8" xfId="18478" xr:uid="{00000000-0005-0000-0000-0000DF4B0000}"/>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3" xfId="24643" xr:uid="{00000000-0005-0000-0000-0000E64B0000}"/>
    <cellStyle name="40% - Accent5 7 3 2 2 3" xfId="13159" xr:uid="{00000000-0005-0000-0000-0000E74B0000}"/>
    <cellStyle name="40% - Accent5 7 3 2 2 4" xfId="21114" xr:uid="{00000000-0005-0000-0000-0000E84B0000}"/>
    <cellStyle name="40% - Accent5 7 3 2 3" xfId="6967" xr:uid="{00000000-0005-0000-0000-0000E94B0000}"/>
    <cellStyle name="40% - Accent5 7 3 2 3 2" xfId="14939" xr:uid="{00000000-0005-0000-0000-0000EA4B0000}"/>
    <cellStyle name="40% - Accent5 7 3 2 3 3" xfId="22886" xr:uid="{00000000-0005-0000-0000-0000EB4B0000}"/>
    <cellStyle name="40% - Accent5 7 3 2 4" xfId="11403" xr:uid="{00000000-0005-0000-0000-0000EC4B0000}"/>
    <cellStyle name="40% - Accent5 7 3 2 5" xfId="19358" xr:uid="{00000000-0005-0000-0000-0000ED4B0000}"/>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3" xfId="23765" xr:uid="{00000000-0005-0000-0000-0000F24B0000}"/>
    <cellStyle name="40% - Accent5 7 3 3 3" xfId="12281" xr:uid="{00000000-0005-0000-0000-0000F34B0000}"/>
    <cellStyle name="40% - Accent5 7 3 3 4" xfId="20236" xr:uid="{00000000-0005-0000-0000-0000F44B0000}"/>
    <cellStyle name="40% - Accent5 7 3 4" xfId="6076" xr:uid="{00000000-0005-0000-0000-0000F54B0000}"/>
    <cellStyle name="40% - Accent5 7 3 4 2" xfId="14060" xr:uid="{00000000-0005-0000-0000-0000F64B0000}"/>
    <cellStyle name="40% - Accent5 7 3 4 3" xfId="22008" xr:uid="{00000000-0005-0000-0000-0000F74B0000}"/>
    <cellStyle name="40% - Accent5 7 3 5" xfId="9629" xr:uid="{00000000-0005-0000-0000-0000F84B0000}"/>
    <cellStyle name="40% - Accent5 7 3 5 2" xfId="17587" xr:uid="{00000000-0005-0000-0000-0000F94B0000}"/>
    <cellStyle name="40% - Accent5 7 3 5 3" xfId="25531" xr:uid="{00000000-0005-0000-0000-0000FA4B0000}"/>
    <cellStyle name="40% - Accent5 7 3 6" xfId="10525" xr:uid="{00000000-0005-0000-0000-0000FB4B0000}"/>
    <cellStyle name="40% - Accent5 7 3 7" xfId="18480" xr:uid="{00000000-0005-0000-0000-0000FC4B0000}"/>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3" xfId="24932" xr:uid="{00000000-0005-0000-0000-0000034C0000}"/>
    <cellStyle name="40% - Accent5 7 4 2 2 3" xfId="13448" xr:uid="{00000000-0005-0000-0000-0000044C0000}"/>
    <cellStyle name="40% - Accent5 7 4 2 2 4" xfId="21403" xr:uid="{00000000-0005-0000-0000-0000054C0000}"/>
    <cellStyle name="40% - Accent5 7 4 2 3" xfId="7256" xr:uid="{00000000-0005-0000-0000-0000064C0000}"/>
    <cellStyle name="40% - Accent5 7 4 2 3 2" xfId="15228" xr:uid="{00000000-0005-0000-0000-0000074C0000}"/>
    <cellStyle name="40% - Accent5 7 4 2 3 3" xfId="23175" xr:uid="{00000000-0005-0000-0000-0000084C0000}"/>
    <cellStyle name="40% - Accent5 7 4 2 4" xfId="11692" xr:uid="{00000000-0005-0000-0000-0000094C0000}"/>
    <cellStyle name="40% - Accent5 7 4 2 5" xfId="19647" xr:uid="{00000000-0005-0000-0000-00000A4C0000}"/>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3" xfId="24054" xr:uid="{00000000-0005-0000-0000-00000F4C0000}"/>
    <cellStyle name="40% - Accent5 7 4 3 3" xfId="12570" xr:uid="{00000000-0005-0000-0000-0000104C0000}"/>
    <cellStyle name="40% - Accent5 7 4 3 4" xfId="20525" xr:uid="{00000000-0005-0000-0000-0000114C0000}"/>
    <cellStyle name="40% - Accent5 7 4 4" xfId="6375" xr:uid="{00000000-0005-0000-0000-0000124C0000}"/>
    <cellStyle name="40% - Accent5 7 4 4 2" xfId="14350" xr:uid="{00000000-0005-0000-0000-0000134C0000}"/>
    <cellStyle name="40% - Accent5 7 4 4 3" xfId="22297" xr:uid="{00000000-0005-0000-0000-0000144C0000}"/>
    <cellStyle name="40% - Accent5 7 4 5" xfId="9918" xr:uid="{00000000-0005-0000-0000-0000154C0000}"/>
    <cellStyle name="40% - Accent5 7 4 5 2" xfId="17876" xr:uid="{00000000-0005-0000-0000-0000164C0000}"/>
    <cellStyle name="40% - Accent5 7 4 5 3" xfId="25820" xr:uid="{00000000-0005-0000-0000-0000174C0000}"/>
    <cellStyle name="40% - Accent5 7 4 6" xfId="10814" xr:uid="{00000000-0005-0000-0000-0000184C0000}"/>
    <cellStyle name="40% - Accent5 7 4 7" xfId="18769" xr:uid="{00000000-0005-0000-0000-0000194C0000}"/>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3" xfId="24640" xr:uid="{00000000-0005-0000-0000-00001F4C0000}"/>
    <cellStyle name="40% - Accent5 7 5 2 3" xfId="13156" xr:uid="{00000000-0005-0000-0000-0000204C0000}"/>
    <cellStyle name="40% - Accent5 7 5 2 4" xfId="21111" xr:uid="{00000000-0005-0000-0000-0000214C0000}"/>
    <cellStyle name="40% - Accent5 7 5 3" xfId="6964" xr:uid="{00000000-0005-0000-0000-0000224C0000}"/>
    <cellStyle name="40% - Accent5 7 5 3 2" xfId="14936" xr:uid="{00000000-0005-0000-0000-0000234C0000}"/>
    <cellStyle name="40% - Accent5 7 5 3 3" xfId="22883" xr:uid="{00000000-0005-0000-0000-0000244C0000}"/>
    <cellStyle name="40% - Accent5 7 5 4" xfId="11400" xr:uid="{00000000-0005-0000-0000-0000254C0000}"/>
    <cellStyle name="40% - Accent5 7 5 5" xfId="19355" xr:uid="{00000000-0005-0000-0000-0000264C0000}"/>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3" xfId="23762" xr:uid="{00000000-0005-0000-0000-00002B4C0000}"/>
    <cellStyle name="40% - Accent5 7 6 3" xfId="12278" xr:uid="{00000000-0005-0000-0000-00002C4C0000}"/>
    <cellStyle name="40% - Accent5 7 6 4" xfId="20233" xr:uid="{00000000-0005-0000-0000-00002D4C0000}"/>
    <cellStyle name="40% - Accent5 7 7" xfId="6073" xr:uid="{00000000-0005-0000-0000-00002E4C0000}"/>
    <cellStyle name="40% - Accent5 7 7 2" xfId="14057" xr:uid="{00000000-0005-0000-0000-00002F4C0000}"/>
    <cellStyle name="40% - Accent5 7 7 3" xfId="22005" xr:uid="{00000000-0005-0000-0000-0000304C0000}"/>
    <cellStyle name="40% - Accent5 7 8" xfId="9626" xr:uid="{00000000-0005-0000-0000-0000314C0000}"/>
    <cellStyle name="40% - Accent5 7 8 2" xfId="17584" xr:uid="{00000000-0005-0000-0000-0000324C0000}"/>
    <cellStyle name="40% - Accent5 7 8 3" xfId="25528" xr:uid="{00000000-0005-0000-0000-0000334C0000}"/>
    <cellStyle name="40% - Accent5 7 9" xfId="10522" xr:uid="{00000000-0005-0000-0000-0000344C0000}"/>
    <cellStyle name="40% - Accent5 7_Exh G" xfId="3275" xr:uid="{00000000-0005-0000-0000-0000354C0000}"/>
    <cellStyle name="40% - Accent5 8" xfId="578" xr:uid="{00000000-0005-0000-0000-0000364C0000}"/>
    <cellStyle name="40% - Accent5 8 10" xfId="18481" xr:uid="{00000000-0005-0000-0000-0000374C0000}"/>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3" xfId="24646" xr:uid="{00000000-0005-0000-0000-00003E4C0000}"/>
    <cellStyle name="40% - Accent5 8 2 2 2 2 3" xfId="13162" xr:uid="{00000000-0005-0000-0000-00003F4C0000}"/>
    <cellStyle name="40% - Accent5 8 2 2 2 2 4" xfId="21117" xr:uid="{00000000-0005-0000-0000-0000404C0000}"/>
    <cellStyle name="40% - Accent5 8 2 2 2 3" xfId="6970" xr:uid="{00000000-0005-0000-0000-0000414C0000}"/>
    <cellStyle name="40% - Accent5 8 2 2 2 3 2" xfId="14942" xr:uid="{00000000-0005-0000-0000-0000424C0000}"/>
    <cellStyle name="40% - Accent5 8 2 2 2 3 3" xfId="22889" xr:uid="{00000000-0005-0000-0000-0000434C0000}"/>
    <cellStyle name="40% - Accent5 8 2 2 2 4" xfId="11406" xr:uid="{00000000-0005-0000-0000-0000444C0000}"/>
    <cellStyle name="40% - Accent5 8 2 2 2 5" xfId="19361" xr:uid="{00000000-0005-0000-0000-0000454C0000}"/>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3" xfId="23768" xr:uid="{00000000-0005-0000-0000-00004A4C0000}"/>
    <cellStyle name="40% - Accent5 8 2 2 3 3" xfId="12284" xr:uid="{00000000-0005-0000-0000-00004B4C0000}"/>
    <cellStyle name="40% - Accent5 8 2 2 3 4" xfId="20239" xr:uid="{00000000-0005-0000-0000-00004C4C0000}"/>
    <cellStyle name="40% - Accent5 8 2 2 4" xfId="6079" xr:uid="{00000000-0005-0000-0000-00004D4C0000}"/>
    <cellStyle name="40% - Accent5 8 2 2 4 2" xfId="14063" xr:uid="{00000000-0005-0000-0000-00004E4C0000}"/>
    <cellStyle name="40% - Accent5 8 2 2 4 3" xfId="22011" xr:uid="{00000000-0005-0000-0000-00004F4C0000}"/>
    <cellStyle name="40% - Accent5 8 2 2 5" xfId="9632" xr:uid="{00000000-0005-0000-0000-0000504C0000}"/>
    <cellStyle name="40% - Accent5 8 2 2 5 2" xfId="17590" xr:uid="{00000000-0005-0000-0000-0000514C0000}"/>
    <cellStyle name="40% - Accent5 8 2 2 5 3" xfId="25534" xr:uid="{00000000-0005-0000-0000-0000524C0000}"/>
    <cellStyle name="40% - Accent5 8 2 2 6" xfId="10528" xr:uid="{00000000-0005-0000-0000-0000534C0000}"/>
    <cellStyle name="40% - Accent5 8 2 2 7" xfId="18483" xr:uid="{00000000-0005-0000-0000-0000544C0000}"/>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3" xfId="24645" xr:uid="{00000000-0005-0000-0000-00005A4C0000}"/>
    <cellStyle name="40% - Accent5 8 2 3 2 3" xfId="13161" xr:uid="{00000000-0005-0000-0000-00005B4C0000}"/>
    <cellStyle name="40% - Accent5 8 2 3 2 4" xfId="21116" xr:uid="{00000000-0005-0000-0000-00005C4C0000}"/>
    <cellStyle name="40% - Accent5 8 2 3 3" xfId="6969" xr:uid="{00000000-0005-0000-0000-00005D4C0000}"/>
    <cellStyle name="40% - Accent5 8 2 3 3 2" xfId="14941" xr:uid="{00000000-0005-0000-0000-00005E4C0000}"/>
    <cellStyle name="40% - Accent5 8 2 3 3 3" xfId="22888" xr:uid="{00000000-0005-0000-0000-00005F4C0000}"/>
    <cellStyle name="40% - Accent5 8 2 3 4" xfId="11405" xr:uid="{00000000-0005-0000-0000-0000604C0000}"/>
    <cellStyle name="40% - Accent5 8 2 3 5" xfId="19360" xr:uid="{00000000-0005-0000-0000-0000614C0000}"/>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3" xfId="23767" xr:uid="{00000000-0005-0000-0000-0000664C0000}"/>
    <cellStyle name="40% - Accent5 8 2 4 3" xfId="12283" xr:uid="{00000000-0005-0000-0000-0000674C0000}"/>
    <cellStyle name="40% - Accent5 8 2 4 4" xfId="20238" xr:uid="{00000000-0005-0000-0000-0000684C0000}"/>
    <cellStyle name="40% - Accent5 8 2 5" xfId="6078" xr:uid="{00000000-0005-0000-0000-0000694C0000}"/>
    <cellStyle name="40% - Accent5 8 2 5 2" xfId="14062" xr:uid="{00000000-0005-0000-0000-00006A4C0000}"/>
    <cellStyle name="40% - Accent5 8 2 5 3" xfId="22010" xr:uid="{00000000-0005-0000-0000-00006B4C0000}"/>
    <cellStyle name="40% - Accent5 8 2 6" xfId="9631" xr:uid="{00000000-0005-0000-0000-00006C4C0000}"/>
    <cellStyle name="40% - Accent5 8 2 6 2" xfId="17589" xr:uid="{00000000-0005-0000-0000-00006D4C0000}"/>
    <cellStyle name="40% - Accent5 8 2 6 3" xfId="25533" xr:uid="{00000000-0005-0000-0000-00006E4C0000}"/>
    <cellStyle name="40% - Accent5 8 2 7" xfId="10527" xr:uid="{00000000-0005-0000-0000-00006F4C0000}"/>
    <cellStyle name="40% - Accent5 8 2 8" xfId="18482" xr:uid="{00000000-0005-0000-0000-0000704C0000}"/>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3" xfId="24647" xr:uid="{00000000-0005-0000-0000-0000774C0000}"/>
    <cellStyle name="40% - Accent5 8 3 2 2 3" xfId="13163" xr:uid="{00000000-0005-0000-0000-0000784C0000}"/>
    <cellStyle name="40% - Accent5 8 3 2 2 4" xfId="21118" xr:uid="{00000000-0005-0000-0000-0000794C0000}"/>
    <cellStyle name="40% - Accent5 8 3 2 3" xfId="6971" xr:uid="{00000000-0005-0000-0000-00007A4C0000}"/>
    <cellStyle name="40% - Accent5 8 3 2 3 2" xfId="14943" xr:uid="{00000000-0005-0000-0000-00007B4C0000}"/>
    <cellStyle name="40% - Accent5 8 3 2 3 3" xfId="22890" xr:uid="{00000000-0005-0000-0000-00007C4C0000}"/>
    <cellStyle name="40% - Accent5 8 3 2 4" xfId="11407" xr:uid="{00000000-0005-0000-0000-00007D4C0000}"/>
    <cellStyle name="40% - Accent5 8 3 2 5" xfId="19362" xr:uid="{00000000-0005-0000-0000-00007E4C0000}"/>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3" xfId="23769" xr:uid="{00000000-0005-0000-0000-0000834C0000}"/>
    <cellStyle name="40% - Accent5 8 3 3 3" xfId="12285" xr:uid="{00000000-0005-0000-0000-0000844C0000}"/>
    <cellStyle name="40% - Accent5 8 3 3 4" xfId="20240" xr:uid="{00000000-0005-0000-0000-0000854C0000}"/>
    <cellStyle name="40% - Accent5 8 3 4" xfId="6080" xr:uid="{00000000-0005-0000-0000-0000864C0000}"/>
    <cellStyle name="40% - Accent5 8 3 4 2" xfId="14064" xr:uid="{00000000-0005-0000-0000-0000874C0000}"/>
    <cellStyle name="40% - Accent5 8 3 4 3" xfId="22012" xr:uid="{00000000-0005-0000-0000-0000884C0000}"/>
    <cellStyle name="40% - Accent5 8 3 5" xfId="9633" xr:uid="{00000000-0005-0000-0000-0000894C0000}"/>
    <cellStyle name="40% - Accent5 8 3 5 2" xfId="17591" xr:uid="{00000000-0005-0000-0000-00008A4C0000}"/>
    <cellStyle name="40% - Accent5 8 3 5 3" xfId="25535" xr:uid="{00000000-0005-0000-0000-00008B4C0000}"/>
    <cellStyle name="40% - Accent5 8 3 6" xfId="10529" xr:uid="{00000000-0005-0000-0000-00008C4C0000}"/>
    <cellStyle name="40% - Accent5 8 3 7" xfId="18484" xr:uid="{00000000-0005-0000-0000-00008D4C0000}"/>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3" xfId="24933" xr:uid="{00000000-0005-0000-0000-0000944C0000}"/>
    <cellStyle name="40% - Accent5 8 4 2 2 3" xfId="13449" xr:uid="{00000000-0005-0000-0000-0000954C0000}"/>
    <cellStyle name="40% - Accent5 8 4 2 2 4" xfId="21404" xr:uid="{00000000-0005-0000-0000-0000964C0000}"/>
    <cellStyle name="40% - Accent5 8 4 2 3" xfId="7257" xr:uid="{00000000-0005-0000-0000-0000974C0000}"/>
    <cellStyle name="40% - Accent5 8 4 2 3 2" xfId="15229" xr:uid="{00000000-0005-0000-0000-0000984C0000}"/>
    <cellStyle name="40% - Accent5 8 4 2 3 3" xfId="23176" xr:uid="{00000000-0005-0000-0000-0000994C0000}"/>
    <cellStyle name="40% - Accent5 8 4 2 4" xfId="11693" xr:uid="{00000000-0005-0000-0000-00009A4C0000}"/>
    <cellStyle name="40% - Accent5 8 4 2 5" xfId="19648" xr:uid="{00000000-0005-0000-0000-00009B4C0000}"/>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3" xfId="24055" xr:uid="{00000000-0005-0000-0000-0000A04C0000}"/>
    <cellStyle name="40% - Accent5 8 4 3 3" xfId="12571" xr:uid="{00000000-0005-0000-0000-0000A14C0000}"/>
    <cellStyle name="40% - Accent5 8 4 3 4" xfId="20526" xr:uid="{00000000-0005-0000-0000-0000A24C0000}"/>
    <cellStyle name="40% - Accent5 8 4 4" xfId="6376" xr:uid="{00000000-0005-0000-0000-0000A34C0000}"/>
    <cellStyle name="40% - Accent5 8 4 4 2" xfId="14351" xr:uid="{00000000-0005-0000-0000-0000A44C0000}"/>
    <cellStyle name="40% - Accent5 8 4 4 3" xfId="22298" xr:uid="{00000000-0005-0000-0000-0000A54C0000}"/>
    <cellStyle name="40% - Accent5 8 4 5" xfId="9919" xr:uid="{00000000-0005-0000-0000-0000A64C0000}"/>
    <cellStyle name="40% - Accent5 8 4 5 2" xfId="17877" xr:uid="{00000000-0005-0000-0000-0000A74C0000}"/>
    <cellStyle name="40% - Accent5 8 4 5 3" xfId="25821" xr:uid="{00000000-0005-0000-0000-0000A84C0000}"/>
    <cellStyle name="40% - Accent5 8 4 6" xfId="10815" xr:uid="{00000000-0005-0000-0000-0000A94C0000}"/>
    <cellStyle name="40% - Accent5 8 4 7" xfId="18770" xr:uid="{00000000-0005-0000-0000-0000AA4C0000}"/>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3" xfId="24644" xr:uid="{00000000-0005-0000-0000-0000B04C0000}"/>
    <cellStyle name="40% - Accent5 8 5 2 3" xfId="13160" xr:uid="{00000000-0005-0000-0000-0000B14C0000}"/>
    <cellStyle name="40% - Accent5 8 5 2 4" xfId="21115" xr:uid="{00000000-0005-0000-0000-0000B24C0000}"/>
    <cellStyle name="40% - Accent5 8 5 3" xfId="6968" xr:uid="{00000000-0005-0000-0000-0000B34C0000}"/>
    <cellStyle name="40% - Accent5 8 5 3 2" xfId="14940" xr:uid="{00000000-0005-0000-0000-0000B44C0000}"/>
    <cellStyle name="40% - Accent5 8 5 3 3" xfId="22887" xr:uid="{00000000-0005-0000-0000-0000B54C0000}"/>
    <cellStyle name="40% - Accent5 8 5 4" xfId="11404" xr:uid="{00000000-0005-0000-0000-0000B64C0000}"/>
    <cellStyle name="40% - Accent5 8 5 5" xfId="19359" xr:uid="{00000000-0005-0000-0000-0000B74C0000}"/>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3" xfId="23766" xr:uid="{00000000-0005-0000-0000-0000BC4C0000}"/>
    <cellStyle name="40% - Accent5 8 6 3" xfId="12282" xr:uid="{00000000-0005-0000-0000-0000BD4C0000}"/>
    <cellStyle name="40% - Accent5 8 6 4" xfId="20237" xr:uid="{00000000-0005-0000-0000-0000BE4C0000}"/>
    <cellStyle name="40% - Accent5 8 7" xfId="6077" xr:uid="{00000000-0005-0000-0000-0000BF4C0000}"/>
    <cellStyle name="40% - Accent5 8 7 2" xfId="14061" xr:uid="{00000000-0005-0000-0000-0000C04C0000}"/>
    <cellStyle name="40% - Accent5 8 7 3" xfId="22009" xr:uid="{00000000-0005-0000-0000-0000C14C0000}"/>
    <cellStyle name="40% - Accent5 8 8" xfId="9630" xr:uid="{00000000-0005-0000-0000-0000C24C0000}"/>
    <cellStyle name="40% - Accent5 8 8 2" xfId="17588" xr:uid="{00000000-0005-0000-0000-0000C34C0000}"/>
    <cellStyle name="40% - Accent5 8 8 3" xfId="25532" xr:uid="{00000000-0005-0000-0000-0000C44C0000}"/>
    <cellStyle name="40% - Accent5 8 9" xfId="10526" xr:uid="{00000000-0005-0000-0000-0000C54C0000}"/>
    <cellStyle name="40% - Accent5 8_Exh G" xfId="3285" xr:uid="{00000000-0005-0000-0000-0000C64C0000}"/>
    <cellStyle name="40% - Accent5 9" xfId="582" xr:uid="{00000000-0005-0000-0000-0000C74C0000}"/>
    <cellStyle name="40% - Accent5 9 10" xfId="18485" xr:uid="{00000000-0005-0000-0000-0000C84C0000}"/>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3" xfId="24650" xr:uid="{00000000-0005-0000-0000-0000CF4C0000}"/>
    <cellStyle name="40% - Accent5 9 2 2 2 2 3" xfId="13166" xr:uid="{00000000-0005-0000-0000-0000D04C0000}"/>
    <cellStyle name="40% - Accent5 9 2 2 2 2 4" xfId="21121" xr:uid="{00000000-0005-0000-0000-0000D14C0000}"/>
    <cellStyle name="40% - Accent5 9 2 2 2 3" xfId="6974" xr:uid="{00000000-0005-0000-0000-0000D24C0000}"/>
    <cellStyle name="40% - Accent5 9 2 2 2 3 2" xfId="14946" xr:uid="{00000000-0005-0000-0000-0000D34C0000}"/>
    <cellStyle name="40% - Accent5 9 2 2 2 3 3" xfId="22893" xr:uid="{00000000-0005-0000-0000-0000D44C0000}"/>
    <cellStyle name="40% - Accent5 9 2 2 2 4" xfId="11410" xr:uid="{00000000-0005-0000-0000-0000D54C0000}"/>
    <cellStyle name="40% - Accent5 9 2 2 2 5" xfId="19365" xr:uid="{00000000-0005-0000-0000-0000D64C0000}"/>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3" xfId="23772" xr:uid="{00000000-0005-0000-0000-0000DB4C0000}"/>
    <cellStyle name="40% - Accent5 9 2 2 3 3" xfId="12288" xr:uid="{00000000-0005-0000-0000-0000DC4C0000}"/>
    <cellStyle name="40% - Accent5 9 2 2 3 4" xfId="20243" xr:uid="{00000000-0005-0000-0000-0000DD4C0000}"/>
    <cellStyle name="40% - Accent5 9 2 2 4" xfId="6083" xr:uid="{00000000-0005-0000-0000-0000DE4C0000}"/>
    <cellStyle name="40% - Accent5 9 2 2 4 2" xfId="14067" xr:uid="{00000000-0005-0000-0000-0000DF4C0000}"/>
    <cellStyle name="40% - Accent5 9 2 2 4 3" xfId="22015" xr:uid="{00000000-0005-0000-0000-0000E04C0000}"/>
    <cellStyle name="40% - Accent5 9 2 2 5" xfId="9636" xr:uid="{00000000-0005-0000-0000-0000E14C0000}"/>
    <cellStyle name="40% - Accent5 9 2 2 5 2" xfId="17594" xr:uid="{00000000-0005-0000-0000-0000E24C0000}"/>
    <cellStyle name="40% - Accent5 9 2 2 5 3" xfId="25538" xr:uid="{00000000-0005-0000-0000-0000E34C0000}"/>
    <cellStyle name="40% - Accent5 9 2 2 6" xfId="10532" xr:uid="{00000000-0005-0000-0000-0000E44C0000}"/>
    <cellStyle name="40% - Accent5 9 2 2 7" xfId="18487" xr:uid="{00000000-0005-0000-0000-0000E54C0000}"/>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3" xfId="24649" xr:uid="{00000000-0005-0000-0000-0000EB4C0000}"/>
    <cellStyle name="40% - Accent5 9 2 3 2 3" xfId="13165" xr:uid="{00000000-0005-0000-0000-0000EC4C0000}"/>
    <cellStyle name="40% - Accent5 9 2 3 2 4" xfId="21120" xr:uid="{00000000-0005-0000-0000-0000ED4C0000}"/>
    <cellStyle name="40% - Accent5 9 2 3 3" xfId="6973" xr:uid="{00000000-0005-0000-0000-0000EE4C0000}"/>
    <cellStyle name="40% - Accent5 9 2 3 3 2" xfId="14945" xr:uid="{00000000-0005-0000-0000-0000EF4C0000}"/>
    <cellStyle name="40% - Accent5 9 2 3 3 3" xfId="22892" xr:uid="{00000000-0005-0000-0000-0000F04C0000}"/>
    <cellStyle name="40% - Accent5 9 2 3 4" xfId="11409" xr:uid="{00000000-0005-0000-0000-0000F14C0000}"/>
    <cellStyle name="40% - Accent5 9 2 3 5" xfId="19364" xr:uid="{00000000-0005-0000-0000-0000F24C0000}"/>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3" xfId="23771" xr:uid="{00000000-0005-0000-0000-0000F74C0000}"/>
    <cellStyle name="40% - Accent5 9 2 4 3" xfId="12287" xr:uid="{00000000-0005-0000-0000-0000F84C0000}"/>
    <cellStyle name="40% - Accent5 9 2 4 4" xfId="20242" xr:uid="{00000000-0005-0000-0000-0000F94C0000}"/>
    <cellStyle name="40% - Accent5 9 2 5" xfId="6082" xr:uid="{00000000-0005-0000-0000-0000FA4C0000}"/>
    <cellStyle name="40% - Accent5 9 2 5 2" xfId="14066" xr:uid="{00000000-0005-0000-0000-0000FB4C0000}"/>
    <cellStyle name="40% - Accent5 9 2 5 3" xfId="22014" xr:uid="{00000000-0005-0000-0000-0000FC4C0000}"/>
    <cellStyle name="40% - Accent5 9 2 6" xfId="9635" xr:uid="{00000000-0005-0000-0000-0000FD4C0000}"/>
    <cellStyle name="40% - Accent5 9 2 6 2" xfId="17593" xr:uid="{00000000-0005-0000-0000-0000FE4C0000}"/>
    <cellStyle name="40% - Accent5 9 2 6 3" xfId="25537" xr:uid="{00000000-0005-0000-0000-0000FF4C0000}"/>
    <cellStyle name="40% - Accent5 9 2 7" xfId="10531" xr:uid="{00000000-0005-0000-0000-0000004D0000}"/>
    <cellStyle name="40% - Accent5 9 2 8" xfId="18486" xr:uid="{00000000-0005-0000-0000-0000014D0000}"/>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3" xfId="24651" xr:uid="{00000000-0005-0000-0000-0000084D0000}"/>
    <cellStyle name="40% - Accent5 9 3 2 2 3" xfId="13167" xr:uid="{00000000-0005-0000-0000-0000094D0000}"/>
    <cellStyle name="40% - Accent5 9 3 2 2 4" xfId="21122" xr:uid="{00000000-0005-0000-0000-00000A4D0000}"/>
    <cellStyle name="40% - Accent5 9 3 2 3" xfId="6975" xr:uid="{00000000-0005-0000-0000-00000B4D0000}"/>
    <cellStyle name="40% - Accent5 9 3 2 3 2" xfId="14947" xr:uid="{00000000-0005-0000-0000-00000C4D0000}"/>
    <cellStyle name="40% - Accent5 9 3 2 3 3" xfId="22894" xr:uid="{00000000-0005-0000-0000-00000D4D0000}"/>
    <cellStyle name="40% - Accent5 9 3 2 4" xfId="11411" xr:uid="{00000000-0005-0000-0000-00000E4D0000}"/>
    <cellStyle name="40% - Accent5 9 3 2 5" xfId="19366" xr:uid="{00000000-0005-0000-0000-00000F4D0000}"/>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3" xfId="23773" xr:uid="{00000000-0005-0000-0000-0000144D0000}"/>
    <cellStyle name="40% - Accent5 9 3 3 3" xfId="12289" xr:uid="{00000000-0005-0000-0000-0000154D0000}"/>
    <cellStyle name="40% - Accent5 9 3 3 4" xfId="20244" xr:uid="{00000000-0005-0000-0000-0000164D0000}"/>
    <cellStyle name="40% - Accent5 9 3 4" xfId="6084" xr:uid="{00000000-0005-0000-0000-0000174D0000}"/>
    <cellStyle name="40% - Accent5 9 3 4 2" xfId="14068" xr:uid="{00000000-0005-0000-0000-0000184D0000}"/>
    <cellStyle name="40% - Accent5 9 3 4 3" xfId="22016" xr:uid="{00000000-0005-0000-0000-0000194D0000}"/>
    <cellStyle name="40% - Accent5 9 3 5" xfId="9637" xr:uid="{00000000-0005-0000-0000-00001A4D0000}"/>
    <cellStyle name="40% - Accent5 9 3 5 2" xfId="17595" xr:uid="{00000000-0005-0000-0000-00001B4D0000}"/>
    <cellStyle name="40% - Accent5 9 3 5 3" xfId="25539" xr:uid="{00000000-0005-0000-0000-00001C4D0000}"/>
    <cellStyle name="40% - Accent5 9 3 6" xfId="10533" xr:uid="{00000000-0005-0000-0000-00001D4D0000}"/>
    <cellStyle name="40% - Accent5 9 3 7" xfId="18488" xr:uid="{00000000-0005-0000-0000-00001E4D0000}"/>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3" xfId="24934" xr:uid="{00000000-0005-0000-0000-0000254D0000}"/>
    <cellStyle name="40% - Accent5 9 4 2 2 3" xfId="13450" xr:uid="{00000000-0005-0000-0000-0000264D0000}"/>
    <cellStyle name="40% - Accent5 9 4 2 2 4" xfId="21405" xr:uid="{00000000-0005-0000-0000-0000274D0000}"/>
    <cellStyle name="40% - Accent5 9 4 2 3" xfId="7258" xr:uid="{00000000-0005-0000-0000-0000284D0000}"/>
    <cellStyle name="40% - Accent5 9 4 2 3 2" xfId="15230" xr:uid="{00000000-0005-0000-0000-0000294D0000}"/>
    <cellStyle name="40% - Accent5 9 4 2 3 3" xfId="23177" xr:uid="{00000000-0005-0000-0000-00002A4D0000}"/>
    <cellStyle name="40% - Accent5 9 4 2 4" xfId="11694" xr:uid="{00000000-0005-0000-0000-00002B4D0000}"/>
    <cellStyle name="40% - Accent5 9 4 2 5" xfId="19649" xr:uid="{00000000-0005-0000-0000-00002C4D0000}"/>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3" xfId="24056" xr:uid="{00000000-0005-0000-0000-0000314D0000}"/>
    <cellStyle name="40% - Accent5 9 4 3 3" xfId="12572" xr:uid="{00000000-0005-0000-0000-0000324D0000}"/>
    <cellStyle name="40% - Accent5 9 4 3 4" xfId="20527" xr:uid="{00000000-0005-0000-0000-0000334D0000}"/>
    <cellStyle name="40% - Accent5 9 4 4" xfId="6377" xr:uid="{00000000-0005-0000-0000-0000344D0000}"/>
    <cellStyle name="40% - Accent5 9 4 4 2" xfId="14352" xr:uid="{00000000-0005-0000-0000-0000354D0000}"/>
    <cellStyle name="40% - Accent5 9 4 4 3" xfId="22299" xr:uid="{00000000-0005-0000-0000-0000364D0000}"/>
    <cellStyle name="40% - Accent5 9 4 5" xfId="9920" xr:uid="{00000000-0005-0000-0000-0000374D0000}"/>
    <cellStyle name="40% - Accent5 9 4 5 2" xfId="17878" xr:uid="{00000000-0005-0000-0000-0000384D0000}"/>
    <cellStyle name="40% - Accent5 9 4 5 3" xfId="25822" xr:uid="{00000000-0005-0000-0000-0000394D0000}"/>
    <cellStyle name="40% - Accent5 9 4 6" xfId="10816" xr:uid="{00000000-0005-0000-0000-00003A4D0000}"/>
    <cellStyle name="40% - Accent5 9 4 7" xfId="18771" xr:uid="{00000000-0005-0000-0000-00003B4D0000}"/>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3" xfId="24648" xr:uid="{00000000-0005-0000-0000-0000414D0000}"/>
    <cellStyle name="40% - Accent5 9 5 2 3" xfId="13164" xr:uid="{00000000-0005-0000-0000-0000424D0000}"/>
    <cellStyle name="40% - Accent5 9 5 2 4" xfId="21119" xr:uid="{00000000-0005-0000-0000-0000434D0000}"/>
    <cellStyle name="40% - Accent5 9 5 3" xfId="6972" xr:uid="{00000000-0005-0000-0000-0000444D0000}"/>
    <cellStyle name="40% - Accent5 9 5 3 2" xfId="14944" xr:uid="{00000000-0005-0000-0000-0000454D0000}"/>
    <cellStyle name="40% - Accent5 9 5 3 3" xfId="22891" xr:uid="{00000000-0005-0000-0000-0000464D0000}"/>
    <cellStyle name="40% - Accent5 9 5 4" xfId="11408" xr:uid="{00000000-0005-0000-0000-0000474D0000}"/>
    <cellStyle name="40% - Accent5 9 5 5" xfId="19363" xr:uid="{00000000-0005-0000-0000-0000484D0000}"/>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3" xfId="23770" xr:uid="{00000000-0005-0000-0000-00004D4D0000}"/>
    <cellStyle name="40% - Accent5 9 6 3" xfId="12286" xr:uid="{00000000-0005-0000-0000-00004E4D0000}"/>
    <cellStyle name="40% - Accent5 9 6 4" xfId="20241" xr:uid="{00000000-0005-0000-0000-00004F4D0000}"/>
    <cellStyle name="40% - Accent5 9 7" xfId="6081" xr:uid="{00000000-0005-0000-0000-0000504D0000}"/>
    <cellStyle name="40% - Accent5 9 7 2" xfId="14065" xr:uid="{00000000-0005-0000-0000-0000514D0000}"/>
    <cellStyle name="40% - Accent5 9 7 3" xfId="22013" xr:uid="{00000000-0005-0000-0000-0000524D0000}"/>
    <cellStyle name="40% - Accent5 9 8" xfId="9634" xr:uid="{00000000-0005-0000-0000-0000534D0000}"/>
    <cellStyle name="40% - Accent5 9 8 2" xfId="17592" xr:uid="{00000000-0005-0000-0000-0000544D0000}"/>
    <cellStyle name="40% - Accent5 9 8 3" xfId="25536" xr:uid="{00000000-0005-0000-0000-0000554D0000}"/>
    <cellStyle name="40% - Accent5 9 9" xfId="10530" xr:uid="{00000000-0005-0000-0000-0000564D0000}"/>
    <cellStyle name="40% - Accent5 9_Exh G" xfId="3295" xr:uid="{00000000-0005-0000-0000-0000574D0000}"/>
    <cellStyle name="40% - Accent6 10" xfId="586" xr:uid="{00000000-0005-0000-0000-0000584D0000}"/>
    <cellStyle name="40% - Accent6 10 10" xfId="18489" xr:uid="{00000000-0005-0000-0000-0000594D0000}"/>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3" xfId="24654" xr:uid="{00000000-0005-0000-0000-0000604D0000}"/>
    <cellStyle name="40% - Accent6 10 2 2 2 2 3" xfId="13170" xr:uid="{00000000-0005-0000-0000-0000614D0000}"/>
    <cellStyle name="40% - Accent6 10 2 2 2 2 4" xfId="21125" xr:uid="{00000000-0005-0000-0000-0000624D0000}"/>
    <cellStyle name="40% - Accent6 10 2 2 2 3" xfId="6978" xr:uid="{00000000-0005-0000-0000-0000634D0000}"/>
    <cellStyle name="40% - Accent6 10 2 2 2 3 2" xfId="14950" xr:uid="{00000000-0005-0000-0000-0000644D0000}"/>
    <cellStyle name="40% - Accent6 10 2 2 2 3 3" xfId="22897" xr:uid="{00000000-0005-0000-0000-0000654D0000}"/>
    <cellStyle name="40% - Accent6 10 2 2 2 4" xfId="11414" xr:uid="{00000000-0005-0000-0000-0000664D0000}"/>
    <cellStyle name="40% - Accent6 10 2 2 2 5" xfId="19369" xr:uid="{00000000-0005-0000-0000-0000674D0000}"/>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3" xfId="23776" xr:uid="{00000000-0005-0000-0000-00006C4D0000}"/>
    <cellStyle name="40% - Accent6 10 2 2 3 3" xfId="12292" xr:uid="{00000000-0005-0000-0000-00006D4D0000}"/>
    <cellStyle name="40% - Accent6 10 2 2 3 4" xfId="20247" xr:uid="{00000000-0005-0000-0000-00006E4D0000}"/>
    <cellStyle name="40% - Accent6 10 2 2 4" xfId="6087" xr:uid="{00000000-0005-0000-0000-00006F4D0000}"/>
    <cellStyle name="40% - Accent6 10 2 2 4 2" xfId="14071" xr:uid="{00000000-0005-0000-0000-0000704D0000}"/>
    <cellStyle name="40% - Accent6 10 2 2 4 3" xfId="22019" xr:uid="{00000000-0005-0000-0000-0000714D0000}"/>
    <cellStyle name="40% - Accent6 10 2 2 5" xfId="9640" xr:uid="{00000000-0005-0000-0000-0000724D0000}"/>
    <cellStyle name="40% - Accent6 10 2 2 5 2" xfId="17598" xr:uid="{00000000-0005-0000-0000-0000734D0000}"/>
    <cellStyle name="40% - Accent6 10 2 2 5 3" xfId="25542" xr:uid="{00000000-0005-0000-0000-0000744D0000}"/>
    <cellStyle name="40% - Accent6 10 2 2 6" xfId="10536" xr:uid="{00000000-0005-0000-0000-0000754D0000}"/>
    <cellStyle name="40% - Accent6 10 2 2 7" xfId="18491" xr:uid="{00000000-0005-0000-0000-0000764D0000}"/>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3" xfId="24653" xr:uid="{00000000-0005-0000-0000-00007C4D0000}"/>
    <cellStyle name="40% - Accent6 10 2 3 2 3" xfId="13169" xr:uid="{00000000-0005-0000-0000-00007D4D0000}"/>
    <cellStyle name="40% - Accent6 10 2 3 2 4" xfId="21124" xr:uid="{00000000-0005-0000-0000-00007E4D0000}"/>
    <cellStyle name="40% - Accent6 10 2 3 3" xfId="6977" xr:uid="{00000000-0005-0000-0000-00007F4D0000}"/>
    <cellStyle name="40% - Accent6 10 2 3 3 2" xfId="14949" xr:uid="{00000000-0005-0000-0000-0000804D0000}"/>
    <cellStyle name="40% - Accent6 10 2 3 3 3" xfId="22896" xr:uid="{00000000-0005-0000-0000-0000814D0000}"/>
    <cellStyle name="40% - Accent6 10 2 3 4" xfId="11413" xr:uid="{00000000-0005-0000-0000-0000824D0000}"/>
    <cellStyle name="40% - Accent6 10 2 3 5" xfId="19368" xr:uid="{00000000-0005-0000-0000-0000834D0000}"/>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3" xfId="23775" xr:uid="{00000000-0005-0000-0000-0000884D0000}"/>
    <cellStyle name="40% - Accent6 10 2 4 3" xfId="12291" xr:uid="{00000000-0005-0000-0000-0000894D0000}"/>
    <cellStyle name="40% - Accent6 10 2 4 4" xfId="20246" xr:uid="{00000000-0005-0000-0000-00008A4D0000}"/>
    <cellStyle name="40% - Accent6 10 2 5" xfId="6086" xr:uid="{00000000-0005-0000-0000-00008B4D0000}"/>
    <cellStyle name="40% - Accent6 10 2 5 2" xfId="14070" xr:uid="{00000000-0005-0000-0000-00008C4D0000}"/>
    <cellStyle name="40% - Accent6 10 2 5 3" xfId="22018" xr:uid="{00000000-0005-0000-0000-00008D4D0000}"/>
    <cellStyle name="40% - Accent6 10 2 6" xfId="9639" xr:uid="{00000000-0005-0000-0000-00008E4D0000}"/>
    <cellStyle name="40% - Accent6 10 2 6 2" xfId="17597" xr:uid="{00000000-0005-0000-0000-00008F4D0000}"/>
    <cellStyle name="40% - Accent6 10 2 6 3" xfId="25541" xr:uid="{00000000-0005-0000-0000-0000904D0000}"/>
    <cellStyle name="40% - Accent6 10 2 7" xfId="10535" xr:uid="{00000000-0005-0000-0000-0000914D0000}"/>
    <cellStyle name="40% - Accent6 10 2 8" xfId="18490" xr:uid="{00000000-0005-0000-0000-0000924D0000}"/>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3" xfId="24655" xr:uid="{00000000-0005-0000-0000-0000994D0000}"/>
    <cellStyle name="40% - Accent6 10 3 2 2 3" xfId="13171" xr:uid="{00000000-0005-0000-0000-00009A4D0000}"/>
    <cellStyle name="40% - Accent6 10 3 2 2 4" xfId="21126" xr:uid="{00000000-0005-0000-0000-00009B4D0000}"/>
    <cellStyle name="40% - Accent6 10 3 2 3" xfId="6979" xr:uid="{00000000-0005-0000-0000-00009C4D0000}"/>
    <cellStyle name="40% - Accent6 10 3 2 3 2" xfId="14951" xr:uid="{00000000-0005-0000-0000-00009D4D0000}"/>
    <cellStyle name="40% - Accent6 10 3 2 3 3" xfId="22898" xr:uid="{00000000-0005-0000-0000-00009E4D0000}"/>
    <cellStyle name="40% - Accent6 10 3 2 4" xfId="11415" xr:uid="{00000000-0005-0000-0000-00009F4D0000}"/>
    <cellStyle name="40% - Accent6 10 3 2 5" xfId="19370" xr:uid="{00000000-0005-0000-0000-0000A04D0000}"/>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3" xfId="23777" xr:uid="{00000000-0005-0000-0000-0000A54D0000}"/>
    <cellStyle name="40% - Accent6 10 3 3 3" xfId="12293" xr:uid="{00000000-0005-0000-0000-0000A64D0000}"/>
    <cellStyle name="40% - Accent6 10 3 3 4" xfId="20248" xr:uid="{00000000-0005-0000-0000-0000A74D0000}"/>
    <cellStyle name="40% - Accent6 10 3 4" xfId="6088" xr:uid="{00000000-0005-0000-0000-0000A84D0000}"/>
    <cellStyle name="40% - Accent6 10 3 4 2" xfId="14072" xr:uid="{00000000-0005-0000-0000-0000A94D0000}"/>
    <cellStyle name="40% - Accent6 10 3 4 3" xfId="22020" xr:uid="{00000000-0005-0000-0000-0000AA4D0000}"/>
    <cellStyle name="40% - Accent6 10 3 5" xfId="9641" xr:uid="{00000000-0005-0000-0000-0000AB4D0000}"/>
    <cellStyle name="40% - Accent6 10 3 5 2" xfId="17599" xr:uid="{00000000-0005-0000-0000-0000AC4D0000}"/>
    <cellStyle name="40% - Accent6 10 3 5 3" xfId="25543" xr:uid="{00000000-0005-0000-0000-0000AD4D0000}"/>
    <cellStyle name="40% - Accent6 10 3 6" xfId="10537" xr:uid="{00000000-0005-0000-0000-0000AE4D0000}"/>
    <cellStyle name="40% - Accent6 10 3 7" xfId="18492" xr:uid="{00000000-0005-0000-0000-0000AF4D0000}"/>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3" xfId="24652" xr:uid="{00000000-0005-0000-0000-0000B64D0000}"/>
    <cellStyle name="40% - Accent6 10 5 2 3" xfId="13168" xr:uid="{00000000-0005-0000-0000-0000B74D0000}"/>
    <cellStyle name="40% - Accent6 10 5 2 4" xfId="21123" xr:uid="{00000000-0005-0000-0000-0000B84D0000}"/>
    <cellStyle name="40% - Accent6 10 5 3" xfId="6976" xr:uid="{00000000-0005-0000-0000-0000B94D0000}"/>
    <cellStyle name="40% - Accent6 10 5 3 2" xfId="14948" xr:uid="{00000000-0005-0000-0000-0000BA4D0000}"/>
    <cellStyle name="40% - Accent6 10 5 3 3" xfId="22895" xr:uid="{00000000-0005-0000-0000-0000BB4D0000}"/>
    <cellStyle name="40% - Accent6 10 5 4" xfId="11412" xr:uid="{00000000-0005-0000-0000-0000BC4D0000}"/>
    <cellStyle name="40% - Accent6 10 5 5" xfId="19367" xr:uid="{00000000-0005-0000-0000-0000BD4D0000}"/>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3" xfId="23774" xr:uid="{00000000-0005-0000-0000-0000C24D0000}"/>
    <cellStyle name="40% - Accent6 10 6 3" xfId="12290" xr:uid="{00000000-0005-0000-0000-0000C34D0000}"/>
    <cellStyle name="40% - Accent6 10 6 4" xfId="20245" xr:uid="{00000000-0005-0000-0000-0000C44D0000}"/>
    <cellStyle name="40% - Accent6 10 7" xfId="6085" xr:uid="{00000000-0005-0000-0000-0000C54D0000}"/>
    <cellStyle name="40% - Accent6 10 7 2" xfId="14069" xr:uid="{00000000-0005-0000-0000-0000C64D0000}"/>
    <cellStyle name="40% - Accent6 10 7 3" xfId="22017" xr:uid="{00000000-0005-0000-0000-0000C74D0000}"/>
    <cellStyle name="40% - Accent6 10 8" xfId="9638" xr:uid="{00000000-0005-0000-0000-0000C84D0000}"/>
    <cellStyle name="40% - Accent6 10 8 2" xfId="17596" xr:uid="{00000000-0005-0000-0000-0000C94D0000}"/>
    <cellStyle name="40% - Accent6 10 8 3" xfId="25540" xr:uid="{00000000-0005-0000-0000-0000CA4D0000}"/>
    <cellStyle name="40% - Accent6 10 9" xfId="10534" xr:uid="{00000000-0005-0000-0000-0000CB4D0000}"/>
    <cellStyle name="40% - Accent6 10_Exh G" xfId="3305" xr:uid="{00000000-0005-0000-0000-0000CC4D0000}"/>
    <cellStyle name="40% - Accent6 11" xfId="590" xr:uid="{00000000-0005-0000-0000-0000CD4D0000}"/>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3" xfId="24658" xr:uid="{00000000-0005-0000-0000-0000D44D0000}"/>
    <cellStyle name="40% - Accent6 11 2 2 2 2 3" xfId="13174" xr:uid="{00000000-0005-0000-0000-0000D54D0000}"/>
    <cellStyle name="40% - Accent6 11 2 2 2 2 4" xfId="21129" xr:uid="{00000000-0005-0000-0000-0000D64D0000}"/>
    <cellStyle name="40% - Accent6 11 2 2 2 3" xfId="6982" xr:uid="{00000000-0005-0000-0000-0000D74D0000}"/>
    <cellStyle name="40% - Accent6 11 2 2 2 3 2" xfId="14954" xr:uid="{00000000-0005-0000-0000-0000D84D0000}"/>
    <cellStyle name="40% - Accent6 11 2 2 2 3 3" xfId="22901" xr:uid="{00000000-0005-0000-0000-0000D94D0000}"/>
    <cellStyle name="40% - Accent6 11 2 2 2 4" xfId="11418" xr:uid="{00000000-0005-0000-0000-0000DA4D0000}"/>
    <cellStyle name="40% - Accent6 11 2 2 2 5" xfId="19373" xr:uid="{00000000-0005-0000-0000-0000DB4D0000}"/>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3" xfId="23780" xr:uid="{00000000-0005-0000-0000-0000E04D0000}"/>
    <cellStyle name="40% - Accent6 11 2 2 3 3" xfId="12296" xr:uid="{00000000-0005-0000-0000-0000E14D0000}"/>
    <cellStyle name="40% - Accent6 11 2 2 3 4" xfId="20251" xr:uid="{00000000-0005-0000-0000-0000E24D0000}"/>
    <cellStyle name="40% - Accent6 11 2 2 4" xfId="6091" xr:uid="{00000000-0005-0000-0000-0000E34D0000}"/>
    <cellStyle name="40% - Accent6 11 2 2 4 2" xfId="14075" xr:uid="{00000000-0005-0000-0000-0000E44D0000}"/>
    <cellStyle name="40% - Accent6 11 2 2 4 3" xfId="22023" xr:uid="{00000000-0005-0000-0000-0000E54D0000}"/>
    <cellStyle name="40% - Accent6 11 2 2 5" xfId="9644" xr:uid="{00000000-0005-0000-0000-0000E64D0000}"/>
    <cellStyle name="40% - Accent6 11 2 2 5 2" xfId="17602" xr:uid="{00000000-0005-0000-0000-0000E74D0000}"/>
    <cellStyle name="40% - Accent6 11 2 2 5 3" xfId="25546" xr:uid="{00000000-0005-0000-0000-0000E84D0000}"/>
    <cellStyle name="40% - Accent6 11 2 2 6" xfId="10540" xr:uid="{00000000-0005-0000-0000-0000E94D0000}"/>
    <cellStyle name="40% - Accent6 11 2 2 7" xfId="18495" xr:uid="{00000000-0005-0000-0000-0000EA4D000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3" xfId="24657" xr:uid="{00000000-0005-0000-0000-0000F04D0000}"/>
    <cellStyle name="40% - Accent6 11 2 3 2 3" xfId="13173" xr:uid="{00000000-0005-0000-0000-0000F14D0000}"/>
    <cellStyle name="40% - Accent6 11 2 3 2 4" xfId="21128" xr:uid="{00000000-0005-0000-0000-0000F24D0000}"/>
    <cellStyle name="40% - Accent6 11 2 3 3" xfId="6981" xr:uid="{00000000-0005-0000-0000-0000F34D0000}"/>
    <cellStyle name="40% - Accent6 11 2 3 3 2" xfId="14953" xr:uid="{00000000-0005-0000-0000-0000F44D0000}"/>
    <cellStyle name="40% - Accent6 11 2 3 3 3" xfId="22900" xr:uid="{00000000-0005-0000-0000-0000F54D0000}"/>
    <cellStyle name="40% - Accent6 11 2 3 4" xfId="11417" xr:uid="{00000000-0005-0000-0000-0000F64D0000}"/>
    <cellStyle name="40% - Accent6 11 2 3 5" xfId="19372" xr:uid="{00000000-0005-0000-0000-0000F74D0000}"/>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3" xfId="23779" xr:uid="{00000000-0005-0000-0000-0000FC4D0000}"/>
    <cellStyle name="40% - Accent6 11 2 4 3" xfId="12295" xr:uid="{00000000-0005-0000-0000-0000FD4D0000}"/>
    <cellStyle name="40% - Accent6 11 2 4 4" xfId="20250" xr:uid="{00000000-0005-0000-0000-0000FE4D0000}"/>
    <cellStyle name="40% - Accent6 11 2 5" xfId="6090" xr:uid="{00000000-0005-0000-0000-0000FF4D0000}"/>
    <cellStyle name="40% - Accent6 11 2 5 2" xfId="14074" xr:uid="{00000000-0005-0000-0000-0000004E0000}"/>
    <cellStyle name="40% - Accent6 11 2 5 3" xfId="22022" xr:uid="{00000000-0005-0000-0000-0000014E0000}"/>
    <cellStyle name="40% - Accent6 11 2 6" xfId="9643" xr:uid="{00000000-0005-0000-0000-0000024E0000}"/>
    <cellStyle name="40% - Accent6 11 2 6 2" xfId="17601" xr:uid="{00000000-0005-0000-0000-0000034E0000}"/>
    <cellStyle name="40% - Accent6 11 2 6 3" xfId="25545" xr:uid="{00000000-0005-0000-0000-0000044E0000}"/>
    <cellStyle name="40% - Accent6 11 2 7" xfId="10539" xr:uid="{00000000-0005-0000-0000-0000054E0000}"/>
    <cellStyle name="40% - Accent6 11 2 8" xfId="18494" xr:uid="{00000000-0005-0000-0000-0000064E0000}"/>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3" xfId="24659" xr:uid="{00000000-0005-0000-0000-00000D4E0000}"/>
    <cellStyle name="40% - Accent6 11 3 2 2 3" xfId="13175" xr:uid="{00000000-0005-0000-0000-00000E4E0000}"/>
    <cellStyle name="40% - Accent6 11 3 2 2 4" xfId="21130" xr:uid="{00000000-0005-0000-0000-00000F4E0000}"/>
    <cellStyle name="40% - Accent6 11 3 2 3" xfId="6983" xr:uid="{00000000-0005-0000-0000-0000104E0000}"/>
    <cellStyle name="40% - Accent6 11 3 2 3 2" xfId="14955" xr:uid="{00000000-0005-0000-0000-0000114E0000}"/>
    <cellStyle name="40% - Accent6 11 3 2 3 3" xfId="22902" xr:uid="{00000000-0005-0000-0000-0000124E0000}"/>
    <cellStyle name="40% - Accent6 11 3 2 4" xfId="11419" xr:uid="{00000000-0005-0000-0000-0000134E0000}"/>
    <cellStyle name="40% - Accent6 11 3 2 5" xfId="19374" xr:uid="{00000000-0005-0000-0000-0000144E0000}"/>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3" xfId="23781" xr:uid="{00000000-0005-0000-0000-0000194E0000}"/>
    <cellStyle name="40% - Accent6 11 3 3 3" xfId="12297" xr:uid="{00000000-0005-0000-0000-00001A4E0000}"/>
    <cellStyle name="40% - Accent6 11 3 3 4" xfId="20252" xr:uid="{00000000-0005-0000-0000-00001B4E0000}"/>
    <cellStyle name="40% - Accent6 11 3 4" xfId="6092" xr:uid="{00000000-0005-0000-0000-00001C4E0000}"/>
    <cellStyle name="40% - Accent6 11 3 4 2" xfId="14076" xr:uid="{00000000-0005-0000-0000-00001D4E0000}"/>
    <cellStyle name="40% - Accent6 11 3 4 3" xfId="22024" xr:uid="{00000000-0005-0000-0000-00001E4E0000}"/>
    <cellStyle name="40% - Accent6 11 3 5" xfId="9645" xr:uid="{00000000-0005-0000-0000-00001F4E0000}"/>
    <cellStyle name="40% - Accent6 11 3 5 2" xfId="17603" xr:uid="{00000000-0005-0000-0000-0000204E0000}"/>
    <cellStyle name="40% - Accent6 11 3 5 3" xfId="25547" xr:uid="{00000000-0005-0000-0000-0000214E0000}"/>
    <cellStyle name="40% - Accent6 11 3 6" xfId="10541" xr:uid="{00000000-0005-0000-0000-0000224E0000}"/>
    <cellStyle name="40% - Accent6 11 3 7" xfId="18496" xr:uid="{00000000-0005-0000-0000-0000234E0000}"/>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3" xfId="24656" xr:uid="{00000000-0005-0000-0000-0000294E0000}"/>
    <cellStyle name="40% - Accent6 11 4 2 3" xfId="13172" xr:uid="{00000000-0005-0000-0000-00002A4E0000}"/>
    <cellStyle name="40% - Accent6 11 4 2 4" xfId="21127" xr:uid="{00000000-0005-0000-0000-00002B4E0000}"/>
    <cellStyle name="40% - Accent6 11 4 3" xfId="6980" xr:uid="{00000000-0005-0000-0000-00002C4E0000}"/>
    <cellStyle name="40% - Accent6 11 4 3 2" xfId="14952" xr:uid="{00000000-0005-0000-0000-00002D4E0000}"/>
    <cellStyle name="40% - Accent6 11 4 3 3" xfId="22899" xr:uid="{00000000-0005-0000-0000-00002E4E0000}"/>
    <cellStyle name="40% - Accent6 11 4 4" xfId="11416" xr:uid="{00000000-0005-0000-0000-00002F4E0000}"/>
    <cellStyle name="40% - Accent6 11 4 5" xfId="19371" xr:uid="{00000000-0005-0000-0000-0000304E0000}"/>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3" xfId="23778" xr:uid="{00000000-0005-0000-0000-0000354E0000}"/>
    <cellStyle name="40% - Accent6 11 5 3" xfId="12294" xr:uid="{00000000-0005-0000-0000-0000364E0000}"/>
    <cellStyle name="40% - Accent6 11 5 4" xfId="20249" xr:uid="{00000000-0005-0000-0000-0000374E0000}"/>
    <cellStyle name="40% - Accent6 11 6" xfId="6089" xr:uid="{00000000-0005-0000-0000-0000384E0000}"/>
    <cellStyle name="40% - Accent6 11 6 2" xfId="14073" xr:uid="{00000000-0005-0000-0000-0000394E0000}"/>
    <cellStyle name="40% - Accent6 11 6 3" xfId="22021" xr:uid="{00000000-0005-0000-0000-00003A4E0000}"/>
    <cellStyle name="40% - Accent6 11 7" xfId="9642" xr:uid="{00000000-0005-0000-0000-00003B4E0000}"/>
    <cellStyle name="40% - Accent6 11 7 2" xfId="17600" xr:uid="{00000000-0005-0000-0000-00003C4E0000}"/>
    <cellStyle name="40% - Accent6 11 7 3" xfId="25544" xr:uid="{00000000-0005-0000-0000-00003D4E0000}"/>
    <cellStyle name="40% - Accent6 11 8" xfId="10538" xr:uid="{00000000-0005-0000-0000-00003E4E0000}"/>
    <cellStyle name="40% - Accent6 11 9" xfId="18493" xr:uid="{00000000-0005-0000-0000-00003F4E0000}"/>
    <cellStyle name="40% - Accent6 11_Exh G" xfId="3313" xr:uid="{00000000-0005-0000-0000-0000404E0000}"/>
    <cellStyle name="40% - Accent6 12" xfId="594" xr:uid="{00000000-0005-0000-0000-0000414E000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3" xfId="24662" xr:uid="{00000000-0005-0000-0000-0000484E0000}"/>
    <cellStyle name="40% - Accent6 12 2 2 2 2 3" xfId="13178" xr:uid="{00000000-0005-0000-0000-0000494E0000}"/>
    <cellStyle name="40% - Accent6 12 2 2 2 2 4" xfId="21133" xr:uid="{00000000-0005-0000-0000-00004A4E0000}"/>
    <cellStyle name="40% - Accent6 12 2 2 2 3" xfId="6986" xr:uid="{00000000-0005-0000-0000-00004B4E0000}"/>
    <cellStyle name="40% - Accent6 12 2 2 2 3 2" xfId="14958" xr:uid="{00000000-0005-0000-0000-00004C4E0000}"/>
    <cellStyle name="40% - Accent6 12 2 2 2 3 3" xfId="22905" xr:uid="{00000000-0005-0000-0000-00004D4E0000}"/>
    <cellStyle name="40% - Accent6 12 2 2 2 4" xfId="11422" xr:uid="{00000000-0005-0000-0000-00004E4E0000}"/>
    <cellStyle name="40% - Accent6 12 2 2 2 5" xfId="19377" xr:uid="{00000000-0005-0000-0000-00004F4E0000}"/>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3" xfId="23784" xr:uid="{00000000-0005-0000-0000-0000544E0000}"/>
    <cellStyle name="40% - Accent6 12 2 2 3 3" xfId="12300" xr:uid="{00000000-0005-0000-0000-0000554E0000}"/>
    <cellStyle name="40% - Accent6 12 2 2 3 4" xfId="20255" xr:uid="{00000000-0005-0000-0000-0000564E0000}"/>
    <cellStyle name="40% - Accent6 12 2 2 4" xfId="6095" xr:uid="{00000000-0005-0000-0000-0000574E0000}"/>
    <cellStyle name="40% - Accent6 12 2 2 4 2" xfId="14079" xr:uid="{00000000-0005-0000-0000-0000584E0000}"/>
    <cellStyle name="40% - Accent6 12 2 2 4 3" xfId="22027" xr:uid="{00000000-0005-0000-0000-0000594E0000}"/>
    <cellStyle name="40% - Accent6 12 2 2 5" xfId="9648" xr:uid="{00000000-0005-0000-0000-00005A4E0000}"/>
    <cellStyle name="40% - Accent6 12 2 2 5 2" xfId="17606" xr:uid="{00000000-0005-0000-0000-00005B4E0000}"/>
    <cellStyle name="40% - Accent6 12 2 2 5 3" xfId="25550" xr:uid="{00000000-0005-0000-0000-00005C4E0000}"/>
    <cellStyle name="40% - Accent6 12 2 2 6" xfId="10544" xr:uid="{00000000-0005-0000-0000-00005D4E0000}"/>
    <cellStyle name="40% - Accent6 12 2 2 7" xfId="18499" xr:uid="{00000000-0005-0000-0000-00005E4E0000}"/>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3" xfId="24661" xr:uid="{00000000-0005-0000-0000-0000644E0000}"/>
    <cellStyle name="40% - Accent6 12 2 3 2 3" xfId="13177" xr:uid="{00000000-0005-0000-0000-0000654E0000}"/>
    <cellStyle name="40% - Accent6 12 2 3 2 4" xfId="21132" xr:uid="{00000000-0005-0000-0000-0000664E0000}"/>
    <cellStyle name="40% - Accent6 12 2 3 3" xfId="6985" xr:uid="{00000000-0005-0000-0000-0000674E0000}"/>
    <cellStyle name="40% - Accent6 12 2 3 3 2" xfId="14957" xr:uid="{00000000-0005-0000-0000-0000684E0000}"/>
    <cellStyle name="40% - Accent6 12 2 3 3 3" xfId="22904" xr:uid="{00000000-0005-0000-0000-0000694E0000}"/>
    <cellStyle name="40% - Accent6 12 2 3 4" xfId="11421" xr:uid="{00000000-0005-0000-0000-00006A4E0000}"/>
    <cellStyle name="40% - Accent6 12 2 3 5" xfId="19376" xr:uid="{00000000-0005-0000-0000-00006B4E0000}"/>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3" xfId="23783" xr:uid="{00000000-0005-0000-0000-0000704E0000}"/>
    <cellStyle name="40% - Accent6 12 2 4 3" xfId="12299" xr:uid="{00000000-0005-0000-0000-0000714E0000}"/>
    <cellStyle name="40% - Accent6 12 2 4 4" xfId="20254" xr:uid="{00000000-0005-0000-0000-0000724E0000}"/>
    <cellStyle name="40% - Accent6 12 2 5" xfId="6094" xr:uid="{00000000-0005-0000-0000-0000734E0000}"/>
    <cellStyle name="40% - Accent6 12 2 5 2" xfId="14078" xr:uid="{00000000-0005-0000-0000-0000744E0000}"/>
    <cellStyle name="40% - Accent6 12 2 5 3" xfId="22026" xr:uid="{00000000-0005-0000-0000-0000754E0000}"/>
    <cellStyle name="40% - Accent6 12 2 6" xfId="9647" xr:uid="{00000000-0005-0000-0000-0000764E0000}"/>
    <cellStyle name="40% - Accent6 12 2 6 2" xfId="17605" xr:uid="{00000000-0005-0000-0000-0000774E0000}"/>
    <cellStyle name="40% - Accent6 12 2 6 3" xfId="25549" xr:uid="{00000000-0005-0000-0000-0000784E0000}"/>
    <cellStyle name="40% - Accent6 12 2 7" xfId="10543" xr:uid="{00000000-0005-0000-0000-0000794E0000}"/>
    <cellStyle name="40% - Accent6 12 2 8" xfId="18498" xr:uid="{00000000-0005-0000-0000-00007A4E000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3" xfId="24663" xr:uid="{00000000-0005-0000-0000-0000814E0000}"/>
    <cellStyle name="40% - Accent6 12 3 2 2 3" xfId="13179" xr:uid="{00000000-0005-0000-0000-0000824E0000}"/>
    <cellStyle name="40% - Accent6 12 3 2 2 4" xfId="21134" xr:uid="{00000000-0005-0000-0000-0000834E0000}"/>
    <cellStyle name="40% - Accent6 12 3 2 3" xfId="6987" xr:uid="{00000000-0005-0000-0000-0000844E0000}"/>
    <cellStyle name="40% - Accent6 12 3 2 3 2" xfId="14959" xr:uid="{00000000-0005-0000-0000-0000854E0000}"/>
    <cellStyle name="40% - Accent6 12 3 2 3 3" xfId="22906" xr:uid="{00000000-0005-0000-0000-0000864E0000}"/>
    <cellStyle name="40% - Accent6 12 3 2 4" xfId="11423" xr:uid="{00000000-0005-0000-0000-0000874E0000}"/>
    <cellStyle name="40% - Accent6 12 3 2 5" xfId="19378" xr:uid="{00000000-0005-0000-0000-0000884E0000}"/>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3" xfId="23785" xr:uid="{00000000-0005-0000-0000-00008D4E0000}"/>
    <cellStyle name="40% - Accent6 12 3 3 3" xfId="12301" xr:uid="{00000000-0005-0000-0000-00008E4E0000}"/>
    <cellStyle name="40% - Accent6 12 3 3 4" xfId="20256" xr:uid="{00000000-0005-0000-0000-00008F4E0000}"/>
    <cellStyle name="40% - Accent6 12 3 4" xfId="6096" xr:uid="{00000000-0005-0000-0000-0000904E0000}"/>
    <cellStyle name="40% - Accent6 12 3 4 2" xfId="14080" xr:uid="{00000000-0005-0000-0000-0000914E0000}"/>
    <cellStyle name="40% - Accent6 12 3 4 3" xfId="22028" xr:uid="{00000000-0005-0000-0000-0000924E0000}"/>
    <cellStyle name="40% - Accent6 12 3 5" xfId="9649" xr:uid="{00000000-0005-0000-0000-0000934E0000}"/>
    <cellStyle name="40% - Accent6 12 3 5 2" xfId="17607" xr:uid="{00000000-0005-0000-0000-0000944E0000}"/>
    <cellStyle name="40% - Accent6 12 3 5 3" xfId="25551" xr:uid="{00000000-0005-0000-0000-0000954E0000}"/>
    <cellStyle name="40% - Accent6 12 3 6" xfId="10545" xr:uid="{00000000-0005-0000-0000-0000964E0000}"/>
    <cellStyle name="40% - Accent6 12 3 7" xfId="18500" xr:uid="{00000000-0005-0000-0000-0000974E0000}"/>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3" xfId="24660" xr:uid="{00000000-0005-0000-0000-00009D4E0000}"/>
    <cellStyle name="40% - Accent6 12 4 2 3" xfId="13176" xr:uid="{00000000-0005-0000-0000-00009E4E0000}"/>
    <cellStyle name="40% - Accent6 12 4 2 4" xfId="21131" xr:uid="{00000000-0005-0000-0000-00009F4E0000}"/>
    <cellStyle name="40% - Accent6 12 4 3" xfId="6984" xr:uid="{00000000-0005-0000-0000-0000A04E0000}"/>
    <cellStyle name="40% - Accent6 12 4 3 2" xfId="14956" xr:uid="{00000000-0005-0000-0000-0000A14E0000}"/>
    <cellStyle name="40% - Accent6 12 4 3 3" xfId="22903" xr:uid="{00000000-0005-0000-0000-0000A24E0000}"/>
    <cellStyle name="40% - Accent6 12 4 4" xfId="11420" xr:uid="{00000000-0005-0000-0000-0000A34E0000}"/>
    <cellStyle name="40% - Accent6 12 4 5" xfId="19375" xr:uid="{00000000-0005-0000-0000-0000A44E0000}"/>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3" xfId="23782" xr:uid="{00000000-0005-0000-0000-0000A94E0000}"/>
    <cellStyle name="40% - Accent6 12 5 3" xfId="12298" xr:uid="{00000000-0005-0000-0000-0000AA4E0000}"/>
    <cellStyle name="40% - Accent6 12 5 4" xfId="20253" xr:uid="{00000000-0005-0000-0000-0000AB4E0000}"/>
    <cellStyle name="40% - Accent6 12 6" xfId="6093" xr:uid="{00000000-0005-0000-0000-0000AC4E0000}"/>
    <cellStyle name="40% - Accent6 12 6 2" xfId="14077" xr:uid="{00000000-0005-0000-0000-0000AD4E0000}"/>
    <cellStyle name="40% - Accent6 12 6 3" xfId="22025" xr:uid="{00000000-0005-0000-0000-0000AE4E0000}"/>
    <cellStyle name="40% - Accent6 12 7" xfId="9646" xr:uid="{00000000-0005-0000-0000-0000AF4E0000}"/>
    <cellStyle name="40% - Accent6 12 7 2" xfId="17604" xr:uid="{00000000-0005-0000-0000-0000B04E0000}"/>
    <cellStyle name="40% - Accent6 12 7 3" xfId="25548" xr:uid="{00000000-0005-0000-0000-0000B14E0000}"/>
    <cellStyle name="40% - Accent6 12 8" xfId="10542" xr:uid="{00000000-0005-0000-0000-0000B24E0000}"/>
    <cellStyle name="40% - Accent6 12 9" xfId="18497" xr:uid="{00000000-0005-0000-0000-0000B34E0000}"/>
    <cellStyle name="40% - Accent6 12_Exh G" xfId="3321" xr:uid="{00000000-0005-0000-0000-0000B44E0000}"/>
    <cellStyle name="40% - Accent6 13" xfId="598" xr:uid="{00000000-0005-0000-0000-0000B54E0000}"/>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3" xfId="24666" xr:uid="{00000000-0005-0000-0000-0000BC4E0000}"/>
    <cellStyle name="40% - Accent6 13 2 2 2 2 3" xfId="13182" xr:uid="{00000000-0005-0000-0000-0000BD4E0000}"/>
    <cellStyle name="40% - Accent6 13 2 2 2 2 4" xfId="21137" xr:uid="{00000000-0005-0000-0000-0000BE4E0000}"/>
    <cellStyle name="40% - Accent6 13 2 2 2 3" xfId="6990" xr:uid="{00000000-0005-0000-0000-0000BF4E0000}"/>
    <cellStyle name="40% - Accent6 13 2 2 2 3 2" xfId="14962" xr:uid="{00000000-0005-0000-0000-0000C04E0000}"/>
    <cellStyle name="40% - Accent6 13 2 2 2 3 3" xfId="22909" xr:uid="{00000000-0005-0000-0000-0000C14E0000}"/>
    <cellStyle name="40% - Accent6 13 2 2 2 4" xfId="11426" xr:uid="{00000000-0005-0000-0000-0000C24E0000}"/>
    <cellStyle name="40% - Accent6 13 2 2 2 5" xfId="19381" xr:uid="{00000000-0005-0000-0000-0000C34E0000}"/>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3" xfId="23788" xr:uid="{00000000-0005-0000-0000-0000C84E0000}"/>
    <cellStyle name="40% - Accent6 13 2 2 3 3" xfId="12304" xr:uid="{00000000-0005-0000-0000-0000C94E0000}"/>
    <cellStyle name="40% - Accent6 13 2 2 3 4" xfId="20259" xr:uid="{00000000-0005-0000-0000-0000CA4E0000}"/>
    <cellStyle name="40% - Accent6 13 2 2 4" xfId="6099" xr:uid="{00000000-0005-0000-0000-0000CB4E0000}"/>
    <cellStyle name="40% - Accent6 13 2 2 4 2" xfId="14083" xr:uid="{00000000-0005-0000-0000-0000CC4E0000}"/>
    <cellStyle name="40% - Accent6 13 2 2 4 3" xfId="22031" xr:uid="{00000000-0005-0000-0000-0000CD4E0000}"/>
    <cellStyle name="40% - Accent6 13 2 2 5" xfId="9652" xr:uid="{00000000-0005-0000-0000-0000CE4E0000}"/>
    <cellStyle name="40% - Accent6 13 2 2 5 2" xfId="17610" xr:uid="{00000000-0005-0000-0000-0000CF4E0000}"/>
    <cellStyle name="40% - Accent6 13 2 2 5 3" xfId="25554" xr:uid="{00000000-0005-0000-0000-0000D04E0000}"/>
    <cellStyle name="40% - Accent6 13 2 2 6" xfId="10548" xr:uid="{00000000-0005-0000-0000-0000D14E0000}"/>
    <cellStyle name="40% - Accent6 13 2 2 7" xfId="18503" xr:uid="{00000000-0005-0000-0000-0000D24E0000}"/>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3" xfId="24665" xr:uid="{00000000-0005-0000-0000-0000D84E0000}"/>
    <cellStyle name="40% - Accent6 13 2 3 2 3" xfId="13181" xr:uid="{00000000-0005-0000-0000-0000D94E0000}"/>
    <cellStyle name="40% - Accent6 13 2 3 2 4" xfId="21136" xr:uid="{00000000-0005-0000-0000-0000DA4E0000}"/>
    <cellStyle name="40% - Accent6 13 2 3 3" xfId="6989" xr:uid="{00000000-0005-0000-0000-0000DB4E0000}"/>
    <cellStyle name="40% - Accent6 13 2 3 3 2" xfId="14961" xr:uid="{00000000-0005-0000-0000-0000DC4E0000}"/>
    <cellStyle name="40% - Accent6 13 2 3 3 3" xfId="22908" xr:uid="{00000000-0005-0000-0000-0000DD4E0000}"/>
    <cellStyle name="40% - Accent6 13 2 3 4" xfId="11425" xr:uid="{00000000-0005-0000-0000-0000DE4E0000}"/>
    <cellStyle name="40% - Accent6 13 2 3 5" xfId="19380" xr:uid="{00000000-0005-0000-0000-0000DF4E0000}"/>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3" xfId="23787" xr:uid="{00000000-0005-0000-0000-0000E44E0000}"/>
    <cellStyle name="40% - Accent6 13 2 4 3" xfId="12303" xr:uid="{00000000-0005-0000-0000-0000E54E0000}"/>
    <cellStyle name="40% - Accent6 13 2 4 4" xfId="20258" xr:uid="{00000000-0005-0000-0000-0000E64E0000}"/>
    <cellStyle name="40% - Accent6 13 2 5" xfId="6098" xr:uid="{00000000-0005-0000-0000-0000E74E0000}"/>
    <cellStyle name="40% - Accent6 13 2 5 2" xfId="14082" xr:uid="{00000000-0005-0000-0000-0000E84E0000}"/>
    <cellStyle name="40% - Accent6 13 2 5 3" xfId="22030" xr:uid="{00000000-0005-0000-0000-0000E94E0000}"/>
    <cellStyle name="40% - Accent6 13 2 6" xfId="9651" xr:uid="{00000000-0005-0000-0000-0000EA4E0000}"/>
    <cellStyle name="40% - Accent6 13 2 6 2" xfId="17609" xr:uid="{00000000-0005-0000-0000-0000EB4E0000}"/>
    <cellStyle name="40% - Accent6 13 2 6 3" xfId="25553" xr:uid="{00000000-0005-0000-0000-0000EC4E0000}"/>
    <cellStyle name="40% - Accent6 13 2 7" xfId="10547" xr:uid="{00000000-0005-0000-0000-0000ED4E0000}"/>
    <cellStyle name="40% - Accent6 13 2 8" xfId="18502" xr:uid="{00000000-0005-0000-0000-0000EE4E0000}"/>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3" xfId="24667" xr:uid="{00000000-0005-0000-0000-0000F54E0000}"/>
    <cellStyle name="40% - Accent6 13 3 2 2 3" xfId="13183" xr:uid="{00000000-0005-0000-0000-0000F64E0000}"/>
    <cellStyle name="40% - Accent6 13 3 2 2 4" xfId="21138" xr:uid="{00000000-0005-0000-0000-0000F74E0000}"/>
    <cellStyle name="40% - Accent6 13 3 2 3" xfId="6991" xr:uid="{00000000-0005-0000-0000-0000F84E0000}"/>
    <cellStyle name="40% - Accent6 13 3 2 3 2" xfId="14963" xr:uid="{00000000-0005-0000-0000-0000F94E0000}"/>
    <cellStyle name="40% - Accent6 13 3 2 3 3" xfId="22910" xr:uid="{00000000-0005-0000-0000-0000FA4E0000}"/>
    <cellStyle name="40% - Accent6 13 3 2 4" xfId="11427" xr:uid="{00000000-0005-0000-0000-0000FB4E0000}"/>
    <cellStyle name="40% - Accent6 13 3 2 5" xfId="19382" xr:uid="{00000000-0005-0000-0000-0000FC4E0000}"/>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3" xfId="23789" xr:uid="{00000000-0005-0000-0000-0000014F0000}"/>
    <cellStyle name="40% - Accent6 13 3 3 3" xfId="12305" xr:uid="{00000000-0005-0000-0000-0000024F0000}"/>
    <cellStyle name="40% - Accent6 13 3 3 4" xfId="20260" xr:uid="{00000000-0005-0000-0000-0000034F0000}"/>
    <cellStyle name="40% - Accent6 13 3 4" xfId="6100" xr:uid="{00000000-0005-0000-0000-0000044F0000}"/>
    <cellStyle name="40% - Accent6 13 3 4 2" xfId="14084" xr:uid="{00000000-0005-0000-0000-0000054F0000}"/>
    <cellStyle name="40% - Accent6 13 3 4 3" xfId="22032" xr:uid="{00000000-0005-0000-0000-0000064F0000}"/>
    <cellStyle name="40% - Accent6 13 3 5" xfId="9653" xr:uid="{00000000-0005-0000-0000-0000074F0000}"/>
    <cellStyle name="40% - Accent6 13 3 5 2" xfId="17611" xr:uid="{00000000-0005-0000-0000-0000084F0000}"/>
    <cellStyle name="40% - Accent6 13 3 5 3" xfId="25555" xr:uid="{00000000-0005-0000-0000-0000094F0000}"/>
    <cellStyle name="40% - Accent6 13 3 6" xfId="10549" xr:uid="{00000000-0005-0000-0000-00000A4F0000}"/>
    <cellStyle name="40% - Accent6 13 3 7" xfId="18504" xr:uid="{00000000-0005-0000-0000-00000B4F0000}"/>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3" xfId="24664" xr:uid="{00000000-0005-0000-0000-0000114F0000}"/>
    <cellStyle name="40% - Accent6 13 4 2 3" xfId="13180" xr:uid="{00000000-0005-0000-0000-0000124F0000}"/>
    <cellStyle name="40% - Accent6 13 4 2 4" xfId="21135" xr:uid="{00000000-0005-0000-0000-0000134F0000}"/>
    <cellStyle name="40% - Accent6 13 4 3" xfId="6988" xr:uid="{00000000-0005-0000-0000-0000144F0000}"/>
    <cellStyle name="40% - Accent6 13 4 3 2" xfId="14960" xr:uid="{00000000-0005-0000-0000-0000154F0000}"/>
    <cellStyle name="40% - Accent6 13 4 3 3" xfId="22907" xr:uid="{00000000-0005-0000-0000-0000164F0000}"/>
    <cellStyle name="40% - Accent6 13 4 4" xfId="11424" xr:uid="{00000000-0005-0000-0000-0000174F0000}"/>
    <cellStyle name="40% - Accent6 13 4 5" xfId="19379" xr:uid="{00000000-0005-0000-0000-0000184F0000}"/>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3" xfId="23786" xr:uid="{00000000-0005-0000-0000-00001D4F0000}"/>
    <cellStyle name="40% - Accent6 13 5 3" xfId="12302" xr:uid="{00000000-0005-0000-0000-00001E4F0000}"/>
    <cellStyle name="40% - Accent6 13 5 4" xfId="20257" xr:uid="{00000000-0005-0000-0000-00001F4F0000}"/>
    <cellStyle name="40% - Accent6 13 6" xfId="6097" xr:uid="{00000000-0005-0000-0000-0000204F0000}"/>
    <cellStyle name="40% - Accent6 13 6 2" xfId="14081" xr:uid="{00000000-0005-0000-0000-0000214F0000}"/>
    <cellStyle name="40% - Accent6 13 6 3" xfId="22029" xr:uid="{00000000-0005-0000-0000-0000224F0000}"/>
    <cellStyle name="40% - Accent6 13 7" xfId="9650" xr:uid="{00000000-0005-0000-0000-0000234F0000}"/>
    <cellStyle name="40% - Accent6 13 7 2" xfId="17608" xr:uid="{00000000-0005-0000-0000-0000244F0000}"/>
    <cellStyle name="40% - Accent6 13 7 3" xfId="25552" xr:uid="{00000000-0005-0000-0000-0000254F0000}"/>
    <cellStyle name="40% - Accent6 13 8" xfId="10546" xr:uid="{00000000-0005-0000-0000-0000264F0000}"/>
    <cellStyle name="40% - Accent6 13 9" xfId="18501" xr:uid="{00000000-0005-0000-0000-0000274F0000}"/>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3" xfId="24669" xr:uid="{00000000-0005-0000-0000-00002F4F0000}"/>
    <cellStyle name="40% - Accent6 14 2 2 2 3" xfId="13185" xr:uid="{00000000-0005-0000-0000-0000304F0000}"/>
    <cellStyle name="40% - Accent6 14 2 2 2 4" xfId="21140" xr:uid="{00000000-0005-0000-0000-0000314F0000}"/>
    <cellStyle name="40% - Accent6 14 2 2 3" xfId="6993" xr:uid="{00000000-0005-0000-0000-0000324F0000}"/>
    <cellStyle name="40% - Accent6 14 2 2 3 2" xfId="14965" xr:uid="{00000000-0005-0000-0000-0000334F0000}"/>
    <cellStyle name="40% - Accent6 14 2 2 3 3" xfId="22912" xr:uid="{00000000-0005-0000-0000-0000344F0000}"/>
    <cellStyle name="40% - Accent6 14 2 2 4" xfId="11429" xr:uid="{00000000-0005-0000-0000-0000354F0000}"/>
    <cellStyle name="40% - Accent6 14 2 2 5" xfId="19384" xr:uid="{00000000-0005-0000-0000-0000364F0000}"/>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3" xfId="23791" xr:uid="{00000000-0005-0000-0000-00003B4F0000}"/>
    <cellStyle name="40% - Accent6 14 2 3 3" xfId="12307" xr:uid="{00000000-0005-0000-0000-00003C4F0000}"/>
    <cellStyle name="40% - Accent6 14 2 3 4" xfId="20262" xr:uid="{00000000-0005-0000-0000-00003D4F0000}"/>
    <cellStyle name="40% - Accent6 14 2 4" xfId="6102" xr:uid="{00000000-0005-0000-0000-00003E4F0000}"/>
    <cellStyle name="40% - Accent6 14 2 4 2" xfId="14086" xr:uid="{00000000-0005-0000-0000-00003F4F0000}"/>
    <cellStyle name="40% - Accent6 14 2 4 3" xfId="22034" xr:uid="{00000000-0005-0000-0000-0000404F0000}"/>
    <cellStyle name="40% - Accent6 14 2 5" xfId="9655" xr:uid="{00000000-0005-0000-0000-0000414F0000}"/>
    <cellStyle name="40% - Accent6 14 2 5 2" xfId="17613" xr:uid="{00000000-0005-0000-0000-0000424F0000}"/>
    <cellStyle name="40% - Accent6 14 2 5 3" xfId="25557" xr:uid="{00000000-0005-0000-0000-0000434F0000}"/>
    <cellStyle name="40% - Accent6 14 2 6" xfId="10551" xr:uid="{00000000-0005-0000-0000-0000444F0000}"/>
    <cellStyle name="40% - Accent6 14 2 7" xfId="18506" xr:uid="{00000000-0005-0000-0000-0000454F0000}"/>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3" xfId="24668" xr:uid="{00000000-0005-0000-0000-00004B4F0000}"/>
    <cellStyle name="40% - Accent6 14 3 2 3" xfId="13184" xr:uid="{00000000-0005-0000-0000-00004C4F0000}"/>
    <cellStyle name="40% - Accent6 14 3 2 4" xfId="21139" xr:uid="{00000000-0005-0000-0000-00004D4F0000}"/>
    <cellStyle name="40% - Accent6 14 3 3" xfId="6992" xr:uid="{00000000-0005-0000-0000-00004E4F0000}"/>
    <cellStyle name="40% - Accent6 14 3 3 2" xfId="14964" xr:uid="{00000000-0005-0000-0000-00004F4F0000}"/>
    <cellStyle name="40% - Accent6 14 3 3 3" xfId="22911" xr:uid="{00000000-0005-0000-0000-0000504F0000}"/>
    <cellStyle name="40% - Accent6 14 3 4" xfId="11428" xr:uid="{00000000-0005-0000-0000-0000514F0000}"/>
    <cellStyle name="40% - Accent6 14 3 5" xfId="19383" xr:uid="{00000000-0005-0000-0000-0000524F0000}"/>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3" xfId="23790" xr:uid="{00000000-0005-0000-0000-0000574F0000}"/>
    <cellStyle name="40% - Accent6 14 4 3" xfId="12306" xr:uid="{00000000-0005-0000-0000-0000584F0000}"/>
    <cellStyle name="40% - Accent6 14 4 4" xfId="20261" xr:uid="{00000000-0005-0000-0000-0000594F0000}"/>
    <cellStyle name="40% - Accent6 14 5" xfId="6101" xr:uid="{00000000-0005-0000-0000-00005A4F0000}"/>
    <cellStyle name="40% - Accent6 14 5 2" xfId="14085" xr:uid="{00000000-0005-0000-0000-00005B4F0000}"/>
    <cellStyle name="40% - Accent6 14 5 3" xfId="22033" xr:uid="{00000000-0005-0000-0000-00005C4F0000}"/>
    <cellStyle name="40% - Accent6 14 6" xfId="9654" xr:uid="{00000000-0005-0000-0000-00005D4F0000}"/>
    <cellStyle name="40% - Accent6 14 6 2" xfId="17612" xr:uid="{00000000-0005-0000-0000-00005E4F0000}"/>
    <cellStyle name="40% - Accent6 14 6 3" xfId="25556" xr:uid="{00000000-0005-0000-0000-00005F4F0000}"/>
    <cellStyle name="40% - Accent6 14 7" xfId="10550" xr:uid="{00000000-0005-0000-0000-0000604F0000}"/>
    <cellStyle name="40% - Accent6 14 8" xfId="18505" xr:uid="{00000000-0005-0000-0000-0000614F0000}"/>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3" xfId="24670" xr:uid="{00000000-0005-0000-0000-0000684F0000}"/>
    <cellStyle name="40% - Accent6 15 2 2 3" xfId="13186" xr:uid="{00000000-0005-0000-0000-0000694F0000}"/>
    <cellStyle name="40% - Accent6 15 2 2 4" xfId="21141" xr:uid="{00000000-0005-0000-0000-00006A4F0000}"/>
    <cellStyle name="40% - Accent6 15 2 3" xfId="6994" xr:uid="{00000000-0005-0000-0000-00006B4F0000}"/>
    <cellStyle name="40% - Accent6 15 2 3 2" xfId="14966" xr:uid="{00000000-0005-0000-0000-00006C4F0000}"/>
    <cellStyle name="40% - Accent6 15 2 3 3" xfId="22913" xr:uid="{00000000-0005-0000-0000-00006D4F0000}"/>
    <cellStyle name="40% - Accent6 15 2 4" xfId="11430" xr:uid="{00000000-0005-0000-0000-00006E4F0000}"/>
    <cellStyle name="40% - Accent6 15 2 5" xfId="19385" xr:uid="{00000000-0005-0000-0000-00006F4F0000}"/>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3" xfId="23792" xr:uid="{00000000-0005-0000-0000-0000744F0000}"/>
    <cellStyle name="40% - Accent6 15 3 3" xfId="12308" xr:uid="{00000000-0005-0000-0000-0000754F0000}"/>
    <cellStyle name="40% - Accent6 15 3 4" xfId="20263" xr:uid="{00000000-0005-0000-0000-0000764F0000}"/>
    <cellStyle name="40% - Accent6 15 4" xfId="6103" xr:uid="{00000000-0005-0000-0000-0000774F0000}"/>
    <cellStyle name="40% - Accent6 15 4 2" xfId="14087" xr:uid="{00000000-0005-0000-0000-0000784F0000}"/>
    <cellStyle name="40% - Accent6 15 4 3" xfId="22035" xr:uid="{00000000-0005-0000-0000-0000794F0000}"/>
    <cellStyle name="40% - Accent6 15 5" xfId="9656" xr:uid="{00000000-0005-0000-0000-00007A4F0000}"/>
    <cellStyle name="40% - Accent6 15 5 2" xfId="17614" xr:uid="{00000000-0005-0000-0000-00007B4F0000}"/>
    <cellStyle name="40% - Accent6 15 5 3" xfId="25558" xr:uid="{00000000-0005-0000-0000-00007C4F0000}"/>
    <cellStyle name="40% - Accent6 15 6" xfId="10552" xr:uid="{00000000-0005-0000-0000-00007D4F0000}"/>
    <cellStyle name="40% - Accent6 15 7" xfId="18507" xr:uid="{00000000-0005-0000-0000-00007E4F0000}"/>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3" xfId="24822" xr:uid="{00000000-0005-0000-0000-0000854F0000}"/>
    <cellStyle name="40% - Accent6 16 2 2 3" xfId="13338" xr:uid="{00000000-0005-0000-0000-0000864F0000}"/>
    <cellStyle name="40% - Accent6 16 2 2 4" xfId="21293" xr:uid="{00000000-0005-0000-0000-0000874F0000}"/>
    <cellStyle name="40% - Accent6 16 2 3" xfId="7146" xr:uid="{00000000-0005-0000-0000-0000884F0000}"/>
    <cellStyle name="40% - Accent6 16 2 3 2" xfId="15118" xr:uid="{00000000-0005-0000-0000-0000894F0000}"/>
    <cellStyle name="40% - Accent6 16 2 3 3" xfId="23065" xr:uid="{00000000-0005-0000-0000-00008A4F0000}"/>
    <cellStyle name="40% - Accent6 16 2 4" xfId="11582" xr:uid="{00000000-0005-0000-0000-00008B4F0000}"/>
    <cellStyle name="40% - Accent6 16 2 5" xfId="19537" xr:uid="{00000000-0005-0000-0000-00008C4F000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3" xfId="23944" xr:uid="{00000000-0005-0000-0000-0000914F0000}"/>
    <cellStyle name="40% - Accent6 16 3 3" xfId="12460" xr:uid="{00000000-0005-0000-0000-0000924F0000}"/>
    <cellStyle name="40% - Accent6 16 3 4" xfId="20415" xr:uid="{00000000-0005-0000-0000-0000934F0000}"/>
    <cellStyle name="40% - Accent6 16 4" xfId="6265" xr:uid="{00000000-0005-0000-0000-0000944F0000}"/>
    <cellStyle name="40% - Accent6 16 4 2" xfId="14240" xr:uid="{00000000-0005-0000-0000-0000954F0000}"/>
    <cellStyle name="40% - Accent6 16 4 3" xfId="22187" xr:uid="{00000000-0005-0000-0000-0000964F0000}"/>
    <cellStyle name="40% - Accent6 16 5" xfId="9808" xr:uid="{00000000-0005-0000-0000-0000974F0000}"/>
    <cellStyle name="40% - Accent6 16 5 2" xfId="17766" xr:uid="{00000000-0005-0000-0000-0000984F0000}"/>
    <cellStyle name="40% - Accent6 16 5 3" xfId="25710" xr:uid="{00000000-0005-0000-0000-0000994F0000}"/>
    <cellStyle name="40% - Accent6 16 6" xfId="10704" xr:uid="{00000000-0005-0000-0000-00009A4F0000}"/>
    <cellStyle name="40% - Accent6 16 7" xfId="18659" xr:uid="{00000000-0005-0000-0000-00009B4F0000}"/>
    <cellStyle name="40% - Accent6 16_Exh G" xfId="3343" xr:uid="{00000000-0005-0000-0000-00009C4F0000}"/>
    <cellStyle name="40% - Accent6 2" xfId="605" xr:uid="{00000000-0005-0000-0000-00009D4F0000}"/>
    <cellStyle name="40% - Accent6 2 10" xfId="18508" xr:uid="{00000000-0005-0000-0000-00009E4F0000}"/>
    <cellStyle name="40% - Accent6 2 2" xfId="606" xr:uid="{00000000-0005-0000-0000-00009F4F000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3" xfId="24673" xr:uid="{00000000-0005-0000-0000-0000A54F0000}"/>
    <cellStyle name="40% - Accent6 2 2 2 2 2 3" xfId="13189" xr:uid="{00000000-0005-0000-0000-0000A64F0000}"/>
    <cellStyle name="40% - Accent6 2 2 2 2 2 4" xfId="21144" xr:uid="{00000000-0005-0000-0000-0000A74F0000}"/>
    <cellStyle name="40% - Accent6 2 2 2 2 3" xfId="6997" xr:uid="{00000000-0005-0000-0000-0000A84F0000}"/>
    <cellStyle name="40% - Accent6 2 2 2 2 3 2" xfId="14969" xr:uid="{00000000-0005-0000-0000-0000A94F0000}"/>
    <cellStyle name="40% - Accent6 2 2 2 2 3 3" xfId="22916" xr:uid="{00000000-0005-0000-0000-0000AA4F0000}"/>
    <cellStyle name="40% - Accent6 2 2 2 2 4" xfId="11433" xr:uid="{00000000-0005-0000-0000-0000AB4F0000}"/>
    <cellStyle name="40% - Accent6 2 2 2 2 5" xfId="19388" xr:uid="{00000000-0005-0000-0000-0000AC4F0000}"/>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3" xfId="23795" xr:uid="{00000000-0005-0000-0000-0000B14F0000}"/>
    <cellStyle name="40% - Accent6 2 2 2 3 3" xfId="12311" xr:uid="{00000000-0005-0000-0000-0000B24F0000}"/>
    <cellStyle name="40% - Accent6 2 2 2 3 4" xfId="20266" xr:uid="{00000000-0005-0000-0000-0000B34F0000}"/>
    <cellStyle name="40% - Accent6 2 2 2 4" xfId="6106" xr:uid="{00000000-0005-0000-0000-0000B44F0000}"/>
    <cellStyle name="40% - Accent6 2 2 2 4 2" xfId="14090" xr:uid="{00000000-0005-0000-0000-0000B54F0000}"/>
    <cellStyle name="40% - Accent6 2 2 2 4 3" xfId="22038" xr:uid="{00000000-0005-0000-0000-0000B64F0000}"/>
    <cellStyle name="40% - Accent6 2 2 2 5" xfId="9659" xr:uid="{00000000-0005-0000-0000-0000B74F0000}"/>
    <cellStyle name="40% - Accent6 2 2 2 5 2" xfId="17617" xr:uid="{00000000-0005-0000-0000-0000B84F0000}"/>
    <cellStyle name="40% - Accent6 2 2 2 5 3" xfId="25561" xr:uid="{00000000-0005-0000-0000-0000B94F0000}"/>
    <cellStyle name="40% - Accent6 2 2 2 6" xfId="10555" xr:uid="{00000000-0005-0000-0000-0000BA4F0000}"/>
    <cellStyle name="40% - Accent6 2 2 2 7" xfId="18510" xr:uid="{00000000-0005-0000-0000-0000BB4F0000}"/>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3" xfId="24936" xr:uid="{00000000-0005-0000-0000-0000C24F0000}"/>
    <cellStyle name="40% - Accent6 2 2 3 2 2 3" xfId="13452" xr:uid="{00000000-0005-0000-0000-0000C34F0000}"/>
    <cellStyle name="40% - Accent6 2 2 3 2 2 4" xfId="21407" xr:uid="{00000000-0005-0000-0000-0000C44F0000}"/>
    <cellStyle name="40% - Accent6 2 2 3 2 3" xfId="7260" xr:uid="{00000000-0005-0000-0000-0000C54F0000}"/>
    <cellStyle name="40% - Accent6 2 2 3 2 3 2" xfId="15232" xr:uid="{00000000-0005-0000-0000-0000C64F0000}"/>
    <cellStyle name="40% - Accent6 2 2 3 2 3 3" xfId="23179" xr:uid="{00000000-0005-0000-0000-0000C74F0000}"/>
    <cellStyle name="40% - Accent6 2 2 3 2 4" xfId="11696" xr:uid="{00000000-0005-0000-0000-0000C84F0000}"/>
    <cellStyle name="40% - Accent6 2 2 3 2 5" xfId="19651" xr:uid="{00000000-0005-0000-0000-0000C94F0000}"/>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3" xfId="24058" xr:uid="{00000000-0005-0000-0000-0000CE4F0000}"/>
    <cellStyle name="40% - Accent6 2 2 3 3 3" xfId="12574" xr:uid="{00000000-0005-0000-0000-0000CF4F0000}"/>
    <cellStyle name="40% - Accent6 2 2 3 3 4" xfId="20529" xr:uid="{00000000-0005-0000-0000-0000D04F0000}"/>
    <cellStyle name="40% - Accent6 2 2 3 4" xfId="6379" xr:uid="{00000000-0005-0000-0000-0000D14F0000}"/>
    <cellStyle name="40% - Accent6 2 2 3 4 2" xfId="14354" xr:uid="{00000000-0005-0000-0000-0000D24F0000}"/>
    <cellStyle name="40% - Accent6 2 2 3 4 3" xfId="22301" xr:uid="{00000000-0005-0000-0000-0000D34F0000}"/>
    <cellStyle name="40% - Accent6 2 2 3 5" xfId="9922" xr:uid="{00000000-0005-0000-0000-0000D44F0000}"/>
    <cellStyle name="40% - Accent6 2 2 3 5 2" xfId="17880" xr:uid="{00000000-0005-0000-0000-0000D54F0000}"/>
    <cellStyle name="40% - Accent6 2 2 3 5 3" xfId="25824" xr:uid="{00000000-0005-0000-0000-0000D64F0000}"/>
    <cellStyle name="40% - Accent6 2 2 3 6" xfId="10818" xr:uid="{00000000-0005-0000-0000-0000D74F0000}"/>
    <cellStyle name="40% - Accent6 2 2 3 7" xfId="18773" xr:uid="{00000000-0005-0000-0000-0000D84F0000}"/>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3" xfId="24672" xr:uid="{00000000-0005-0000-0000-0000DE4F0000}"/>
    <cellStyle name="40% - Accent6 2 2 4 2 3" xfId="13188" xr:uid="{00000000-0005-0000-0000-0000DF4F0000}"/>
    <cellStyle name="40% - Accent6 2 2 4 2 4" xfId="21143" xr:uid="{00000000-0005-0000-0000-0000E04F0000}"/>
    <cellStyle name="40% - Accent6 2 2 4 3" xfId="6996" xr:uid="{00000000-0005-0000-0000-0000E14F0000}"/>
    <cellStyle name="40% - Accent6 2 2 4 3 2" xfId="14968" xr:uid="{00000000-0005-0000-0000-0000E24F0000}"/>
    <cellStyle name="40% - Accent6 2 2 4 3 3" xfId="22915" xr:uid="{00000000-0005-0000-0000-0000E34F0000}"/>
    <cellStyle name="40% - Accent6 2 2 4 4" xfId="11432" xr:uid="{00000000-0005-0000-0000-0000E44F0000}"/>
    <cellStyle name="40% - Accent6 2 2 4 5" xfId="19387" xr:uid="{00000000-0005-0000-0000-0000E54F0000}"/>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3" xfId="23794" xr:uid="{00000000-0005-0000-0000-0000EA4F0000}"/>
    <cellStyle name="40% - Accent6 2 2 5 3" xfId="12310" xr:uid="{00000000-0005-0000-0000-0000EB4F0000}"/>
    <cellStyle name="40% - Accent6 2 2 5 4" xfId="20265" xr:uid="{00000000-0005-0000-0000-0000EC4F0000}"/>
    <cellStyle name="40% - Accent6 2 2 6" xfId="6105" xr:uid="{00000000-0005-0000-0000-0000ED4F0000}"/>
    <cellStyle name="40% - Accent6 2 2 6 2" xfId="14089" xr:uid="{00000000-0005-0000-0000-0000EE4F0000}"/>
    <cellStyle name="40% - Accent6 2 2 6 3" xfId="22037" xr:uid="{00000000-0005-0000-0000-0000EF4F0000}"/>
    <cellStyle name="40% - Accent6 2 2 7" xfId="9658" xr:uid="{00000000-0005-0000-0000-0000F04F0000}"/>
    <cellStyle name="40% - Accent6 2 2 7 2" xfId="17616" xr:uid="{00000000-0005-0000-0000-0000F14F0000}"/>
    <cellStyle name="40% - Accent6 2 2 7 3" xfId="25560" xr:uid="{00000000-0005-0000-0000-0000F24F0000}"/>
    <cellStyle name="40% - Accent6 2 2 8" xfId="10554" xr:uid="{00000000-0005-0000-0000-0000F34F0000}"/>
    <cellStyle name="40% - Accent6 2 2 9" xfId="18509" xr:uid="{00000000-0005-0000-0000-0000F44F0000}"/>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3" xfId="24674" xr:uid="{00000000-0005-0000-0000-0000FB4F0000}"/>
    <cellStyle name="40% - Accent6 2 3 2 2 3" xfId="13190" xr:uid="{00000000-0005-0000-0000-0000FC4F0000}"/>
    <cellStyle name="40% - Accent6 2 3 2 2 4" xfId="21145" xr:uid="{00000000-0005-0000-0000-0000FD4F0000}"/>
    <cellStyle name="40% - Accent6 2 3 2 3" xfId="6998" xr:uid="{00000000-0005-0000-0000-0000FE4F0000}"/>
    <cellStyle name="40% - Accent6 2 3 2 3 2" xfId="14970" xr:uid="{00000000-0005-0000-0000-0000FF4F0000}"/>
    <cellStyle name="40% - Accent6 2 3 2 3 3" xfId="22917" xr:uid="{00000000-0005-0000-0000-000000500000}"/>
    <cellStyle name="40% - Accent6 2 3 2 4" xfId="11434" xr:uid="{00000000-0005-0000-0000-000001500000}"/>
    <cellStyle name="40% - Accent6 2 3 2 5" xfId="19389" xr:uid="{00000000-0005-0000-0000-000002500000}"/>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3" xfId="23796" xr:uid="{00000000-0005-0000-0000-000007500000}"/>
    <cellStyle name="40% - Accent6 2 3 3 3" xfId="12312" xr:uid="{00000000-0005-0000-0000-000008500000}"/>
    <cellStyle name="40% - Accent6 2 3 3 4" xfId="20267" xr:uid="{00000000-0005-0000-0000-000009500000}"/>
    <cellStyle name="40% - Accent6 2 3 4" xfId="6107" xr:uid="{00000000-0005-0000-0000-00000A500000}"/>
    <cellStyle name="40% - Accent6 2 3 4 2" xfId="14091" xr:uid="{00000000-0005-0000-0000-00000B500000}"/>
    <cellStyle name="40% - Accent6 2 3 4 3" xfId="22039" xr:uid="{00000000-0005-0000-0000-00000C500000}"/>
    <cellStyle name="40% - Accent6 2 3 5" xfId="9660" xr:uid="{00000000-0005-0000-0000-00000D500000}"/>
    <cellStyle name="40% - Accent6 2 3 5 2" xfId="17618" xr:uid="{00000000-0005-0000-0000-00000E500000}"/>
    <cellStyle name="40% - Accent6 2 3 5 3" xfId="25562" xr:uid="{00000000-0005-0000-0000-00000F500000}"/>
    <cellStyle name="40% - Accent6 2 3 6" xfId="10556" xr:uid="{00000000-0005-0000-0000-000010500000}"/>
    <cellStyle name="40% - Accent6 2 3 7" xfId="18511" xr:uid="{00000000-0005-0000-0000-000011500000}"/>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3" xfId="24935" xr:uid="{00000000-0005-0000-0000-000018500000}"/>
    <cellStyle name="40% - Accent6 2 4 2 2 3" xfId="13451" xr:uid="{00000000-0005-0000-0000-000019500000}"/>
    <cellStyle name="40% - Accent6 2 4 2 2 4" xfId="21406" xr:uid="{00000000-0005-0000-0000-00001A500000}"/>
    <cellStyle name="40% - Accent6 2 4 2 3" xfId="7259" xr:uid="{00000000-0005-0000-0000-00001B500000}"/>
    <cellStyle name="40% - Accent6 2 4 2 3 2" xfId="15231" xr:uid="{00000000-0005-0000-0000-00001C500000}"/>
    <cellStyle name="40% - Accent6 2 4 2 3 3" xfId="23178" xr:uid="{00000000-0005-0000-0000-00001D500000}"/>
    <cellStyle name="40% - Accent6 2 4 2 4" xfId="11695" xr:uid="{00000000-0005-0000-0000-00001E500000}"/>
    <cellStyle name="40% - Accent6 2 4 2 5" xfId="19650" xr:uid="{00000000-0005-0000-0000-00001F500000}"/>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3" xfId="24057" xr:uid="{00000000-0005-0000-0000-000024500000}"/>
    <cellStyle name="40% - Accent6 2 4 3 3" xfId="12573" xr:uid="{00000000-0005-0000-0000-000025500000}"/>
    <cellStyle name="40% - Accent6 2 4 3 4" xfId="20528" xr:uid="{00000000-0005-0000-0000-000026500000}"/>
    <cellStyle name="40% - Accent6 2 4 4" xfId="6378" xr:uid="{00000000-0005-0000-0000-000027500000}"/>
    <cellStyle name="40% - Accent6 2 4 4 2" xfId="14353" xr:uid="{00000000-0005-0000-0000-000028500000}"/>
    <cellStyle name="40% - Accent6 2 4 4 3" xfId="22300" xr:uid="{00000000-0005-0000-0000-000029500000}"/>
    <cellStyle name="40% - Accent6 2 4 5" xfId="9921" xr:uid="{00000000-0005-0000-0000-00002A500000}"/>
    <cellStyle name="40% - Accent6 2 4 5 2" xfId="17879" xr:uid="{00000000-0005-0000-0000-00002B500000}"/>
    <cellStyle name="40% - Accent6 2 4 5 3" xfId="25823" xr:uid="{00000000-0005-0000-0000-00002C500000}"/>
    <cellStyle name="40% - Accent6 2 4 6" xfId="10817" xr:uid="{00000000-0005-0000-0000-00002D500000}"/>
    <cellStyle name="40% - Accent6 2 4 7" xfId="18772" xr:uid="{00000000-0005-0000-0000-00002E500000}"/>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3" xfId="24671" xr:uid="{00000000-0005-0000-0000-000034500000}"/>
    <cellStyle name="40% - Accent6 2 5 2 3" xfId="13187" xr:uid="{00000000-0005-0000-0000-000035500000}"/>
    <cellStyle name="40% - Accent6 2 5 2 4" xfId="21142" xr:uid="{00000000-0005-0000-0000-000036500000}"/>
    <cellStyle name="40% - Accent6 2 5 3" xfId="6995" xr:uid="{00000000-0005-0000-0000-000037500000}"/>
    <cellStyle name="40% - Accent6 2 5 3 2" xfId="14967" xr:uid="{00000000-0005-0000-0000-000038500000}"/>
    <cellStyle name="40% - Accent6 2 5 3 3" xfId="22914" xr:uid="{00000000-0005-0000-0000-000039500000}"/>
    <cellStyle name="40% - Accent6 2 5 4" xfId="11431" xr:uid="{00000000-0005-0000-0000-00003A500000}"/>
    <cellStyle name="40% - Accent6 2 5 5" xfId="19386" xr:uid="{00000000-0005-0000-0000-00003B500000}"/>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3" xfId="23793" xr:uid="{00000000-0005-0000-0000-000040500000}"/>
    <cellStyle name="40% - Accent6 2 6 3" xfId="12309" xr:uid="{00000000-0005-0000-0000-000041500000}"/>
    <cellStyle name="40% - Accent6 2 6 4" xfId="20264" xr:uid="{00000000-0005-0000-0000-000042500000}"/>
    <cellStyle name="40% - Accent6 2 7" xfId="6104" xr:uid="{00000000-0005-0000-0000-000043500000}"/>
    <cellStyle name="40% - Accent6 2 7 2" xfId="14088" xr:uid="{00000000-0005-0000-0000-000044500000}"/>
    <cellStyle name="40% - Accent6 2 7 3" xfId="22036" xr:uid="{00000000-0005-0000-0000-000045500000}"/>
    <cellStyle name="40% - Accent6 2 8" xfId="9657" xr:uid="{00000000-0005-0000-0000-000046500000}"/>
    <cellStyle name="40% - Accent6 2 8 2" xfId="17615" xr:uid="{00000000-0005-0000-0000-000047500000}"/>
    <cellStyle name="40% - Accent6 2 8 3" xfId="25559" xr:uid="{00000000-0005-0000-0000-000048500000}"/>
    <cellStyle name="40% - Accent6 2 9" xfId="10553" xr:uid="{00000000-0005-0000-0000-000049500000}"/>
    <cellStyle name="40% - Accent6 2_Exh G" xfId="3345" xr:uid="{00000000-0005-0000-0000-00004A500000}"/>
    <cellStyle name="40% - Accent6 3" xfId="609" xr:uid="{00000000-0005-0000-0000-00004B500000}"/>
    <cellStyle name="40% - Accent6 3 10" xfId="18512" xr:uid="{00000000-0005-0000-0000-00004C500000}"/>
    <cellStyle name="40% - Accent6 3 2" xfId="610" xr:uid="{00000000-0005-0000-0000-00004D500000}"/>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3" xfId="24677" xr:uid="{00000000-0005-0000-0000-000053500000}"/>
    <cellStyle name="40% - Accent6 3 2 2 2 2 3" xfId="13193" xr:uid="{00000000-0005-0000-0000-000054500000}"/>
    <cellStyle name="40% - Accent6 3 2 2 2 2 4" xfId="21148" xr:uid="{00000000-0005-0000-0000-000055500000}"/>
    <cellStyle name="40% - Accent6 3 2 2 2 3" xfId="7001" xr:uid="{00000000-0005-0000-0000-000056500000}"/>
    <cellStyle name="40% - Accent6 3 2 2 2 3 2" xfId="14973" xr:uid="{00000000-0005-0000-0000-000057500000}"/>
    <cellStyle name="40% - Accent6 3 2 2 2 3 3" xfId="22920" xr:uid="{00000000-0005-0000-0000-000058500000}"/>
    <cellStyle name="40% - Accent6 3 2 2 2 4" xfId="11437" xr:uid="{00000000-0005-0000-0000-000059500000}"/>
    <cellStyle name="40% - Accent6 3 2 2 2 5" xfId="19392" xr:uid="{00000000-0005-0000-0000-00005A50000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3" xfId="23799" xr:uid="{00000000-0005-0000-0000-00005F500000}"/>
    <cellStyle name="40% - Accent6 3 2 2 3 3" xfId="12315" xr:uid="{00000000-0005-0000-0000-000060500000}"/>
    <cellStyle name="40% - Accent6 3 2 2 3 4" xfId="20270" xr:uid="{00000000-0005-0000-0000-000061500000}"/>
    <cellStyle name="40% - Accent6 3 2 2 4" xfId="6110" xr:uid="{00000000-0005-0000-0000-000062500000}"/>
    <cellStyle name="40% - Accent6 3 2 2 4 2" xfId="14094" xr:uid="{00000000-0005-0000-0000-000063500000}"/>
    <cellStyle name="40% - Accent6 3 2 2 4 3" xfId="22042" xr:uid="{00000000-0005-0000-0000-000064500000}"/>
    <cellStyle name="40% - Accent6 3 2 2 5" xfId="9663" xr:uid="{00000000-0005-0000-0000-000065500000}"/>
    <cellStyle name="40% - Accent6 3 2 2 5 2" xfId="17621" xr:uid="{00000000-0005-0000-0000-000066500000}"/>
    <cellStyle name="40% - Accent6 3 2 2 5 3" xfId="25565" xr:uid="{00000000-0005-0000-0000-000067500000}"/>
    <cellStyle name="40% - Accent6 3 2 2 6" xfId="10559" xr:uid="{00000000-0005-0000-0000-000068500000}"/>
    <cellStyle name="40% - Accent6 3 2 2 7" xfId="18514" xr:uid="{00000000-0005-0000-0000-000069500000}"/>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3" xfId="24938" xr:uid="{00000000-0005-0000-0000-000070500000}"/>
    <cellStyle name="40% - Accent6 3 2 3 2 2 3" xfId="13454" xr:uid="{00000000-0005-0000-0000-000071500000}"/>
    <cellStyle name="40% - Accent6 3 2 3 2 2 4" xfId="21409" xr:uid="{00000000-0005-0000-0000-000072500000}"/>
    <cellStyle name="40% - Accent6 3 2 3 2 3" xfId="7262" xr:uid="{00000000-0005-0000-0000-000073500000}"/>
    <cellStyle name="40% - Accent6 3 2 3 2 3 2" xfId="15234" xr:uid="{00000000-0005-0000-0000-000074500000}"/>
    <cellStyle name="40% - Accent6 3 2 3 2 3 3" xfId="23181" xr:uid="{00000000-0005-0000-0000-000075500000}"/>
    <cellStyle name="40% - Accent6 3 2 3 2 4" xfId="11698" xr:uid="{00000000-0005-0000-0000-000076500000}"/>
    <cellStyle name="40% - Accent6 3 2 3 2 5" xfId="19653" xr:uid="{00000000-0005-0000-0000-000077500000}"/>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3" xfId="24060" xr:uid="{00000000-0005-0000-0000-00007C500000}"/>
    <cellStyle name="40% - Accent6 3 2 3 3 3" xfId="12576" xr:uid="{00000000-0005-0000-0000-00007D500000}"/>
    <cellStyle name="40% - Accent6 3 2 3 3 4" xfId="20531" xr:uid="{00000000-0005-0000-0000-00007E500000}"/>
    <cellStyle name="40% - Accent6 3 2 3 4" xfId="6381" xr:uid="{00000000-0005-0000-0000-00007F500000}"/>
    <cellStyle name="40% - Accent6 3 2 3 4 2" xfId="14356" xr:uid="{00000000-0005-0000-0000-000080500000}"/>
    <cellStyle name="40% - Accent6 3 2 3 4 3" xfId="22303" xr:uid="{00000000-0005-0000-0000-000081500000}"/>
    <cellStyle name="40% - Accent6 3 2 3 5" xfId="9924" xr:uid="{00000000-0005-0000-0000-000082500000}"/>
    <cellStyle name="40% - Accent6 3 2 3 5 2" xfId="17882" xr:uid="{00000000-0005-0000-0000-000083500000}"/>
    <cellStyle name="40% - Accent6 3 2 3 5 3" xfId="25826" xr:uid="{00000000-0005-0000-0000-000084500000}"/>
    <cellStyle name="40% - Accent6 3 2 3 6" xfId="10820" xr:uid="{00000000-0005-0000-0000-000085500000}"/>
    <cellStyle name="40% - Accent6 3 2 3 7" xfId="18775" xr:uid="{00000000-0005-0000-0000-000086500000}"/>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3" xfId="24676" xr:uid="{00000000-0005-0000-0000-00008C500000}"/>
    <cellStyle name="40% - Accent6 3 2 4 2 3" xfId="13192" xr:uid="{00000000-0005-0000-0000-00008D500000}"/>
    <cellStyle name="40% - Accent6 3 2 4 2 4" xfId="21147" xr:uid="{00000000-0005-0000-0000-00008E500000}"/>
    <cellStyle name="40% - Accent6 3 2 4 3" xfId="7000" xr:uid="{00000000-0005-0000-0000-00008F500000}"/>
    <cellStyle name="40% - Accent6 3 2 4 3 2" xfId="14972" xr:uid="{00000000-0005-0000-0000-000090500000}"/>
    <cellStyle name="40% - Accent6 3 2 4 3 3" xfId="22919" xr:uid="{00000000-0005-0000-0000-000091500000}"/>
    <cellStyle name="40% - Accent6 3 2 4 4" xfId="11436" xr:uid="{00000000-0005-0000-0000-000092500000}"/>
    <cellStyle name="40% - Accent6 3 2 4 5" xfId="19391" xr:uid="{00000000-0005-0000-0000-000093500000}"/>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3" xfId="23798" xr:uid="{00000000-0005-0000-0000-000098500000}"/>
    <cellStyle name="40% - Accent6 3 2 5 3" xfId="12314" xr:uid="{00000000-0005-0000-0000-000099500000}"/>
    <cellStyle name="40% - Accent6 3 2 5 4" xfId="20269" xr:uid="{00000000-0005-0000-0000-00009A500000}"/>
    <cellStyle name="40% - Accent6 3 2 6" xfId="6109" xr:uid="{00000000-0005-0000-0000-00009B500000}"/>
    <cellStyle name="40% - Accent6 3 2 6 2" xfId="14093" xr:uid="{00000000-0005-0000-0000-00009C500000}"/>
    <cellStyle name="40% - Accent6 3 2 6 3" xfId="22041" xr:uid="{00000000-0005-0000-0000-00009D500000}"/>
    <cellStyle name="40% - Accent6 3 2 7" xfId="9662" xr:uid="{00000000-0005-0000-0000-00009E500000}"/>
    <cellStyle name="40% - Accent6 3 2 7 2" xfId="17620" xr:uid="{00000000-0005-0000-0000-00009F500000}"/>
    <cellStyle name="40% - Accent6 3 2 7 3" xfId="25564" xr:uid="{00000000-0005-0000-0000-0000A0500000}"/>
    <cellStyle name="40% - Accent6 3 2 8" xfId="10558" xr:uid="{00000000-0005-0000-0000-0000A1500000}"/>
    <cellStyle name="40% - Accent6 3 2 9" xfId="18513" xr:uid="{00000000-0005-0000-0000-0000A2500000}"/>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3" xfId="24678" xr:uid="{00000000-0005-0000-0000-0000A9500000}"/>
    <cellStyle name="40% - Accent6 3 3 2 2 3" xfId="13194" xr:uid="{00000000-0005-0000-0000-0000AA500000}"/>
    <cellStyle name="40% - Accent6 3 3 2 2 4" xfId="21149" xr:uid="{00000000-0005-0000-0000-0000AB500000}"/>
    <cellStyle name="40% - Accent6 3 3 2 3" xfId="7002" xr:uid="{00000000-0005-0000-0000-0000AC500000}"/>
    <cellStyle name="40% - Accent6 3 3 2 3 2" xfId="14974" xr:uid="{00000000-0005-0000-0000-0000AD500000}"/>
    <cellStyle name="40% - Accent6 3 3 2 3 3" xfId="22921" xr:uid="{00000000-0005-0000-0000-0000AE500000}"/>
    <cellStyle name="40% - Accent6 3 3 2 4" xfId="11438" xr:uid="{00000000-0005-0000-0000-0000AF500000}"/>
    <cellStyle name="40% - Accent6 3 3 2 5" xfId="19393" xr:uid="{00000000-0005-0000-0000-0000B0500000}"/>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3" xfId="23800" xr:uid="{00000000-0005-0000-0000-0000B5500000}"/>
    <cellStyle name="40% - Accent6 3 3 3 3" xfId="12316" xr:uid="{00000000-0005-0000-0000-0000B6500000}"/>
    <cellStyle name="40% - Accent6 3 3 3 4" xfId="20271" xr:uid="{00000000-0005-0000-0000-0000B7500000}"/>
    <cellStyle name="40% - Accent6 3 3 4" xfId="6111" xr:uid="{00000000-0005-0000-0000-0000B8500000}"/>
    <cellStyle name="40% - Accent6 3 3 4 2" xfId="14095" xr:uid="{00000000-0005-0000-0000-0000B9500000}"/>
    <cellStyle name="40% - Accent6 3 3 4 3" xfId="22043" xr:uid="{00000000-0005-0000-0000-0000BA500000}"/>
    <cellStyle name="40% - Accent6 3 3 5" xfId="9664" xr:uid="{00000000-0005-0000-0000-0000BB500000}"/>
    <cellStyle name="40% - Accent6 3 3 5 2" xfId="17622" xr:uid="{00000000-0005-0000-0000-0000BC500000}"/>
    <cellStyle name="40% - Accent6 3 3 5 3" xfId="25566" xr:uid="{00000000-0005-0000-0000-0000BD500000}"/>
    <cellStyle name="40% - Accent6 3 3 6" xfId="10560" xr:uid="{00000000-0005-0000-0000-0000BE500000}"/>
    <cellStyle name="40% - Accent6 3 3 7" xfId="18515" xr:uid="{00000000-0005-0000-0000-0000BF500000}"/>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3" xfId="24937" xr:uid="{00000000-0005-0000-0000-0000C6500000}"/>
    <cellStyle name="40% - Accent6 3 4 2 2 3" xfId="13453" xr:uid="{00000000-0005-0000-0000-0000C7500000}"/>
    <cellStyle name="40% - Accent6 3 4 2 2 4" xfId="21408" xr:uid="{00000000-0005-0000-0000-0000C8500000}"/>
    <cellStyle name="40% - Accent6 3 4 2 3" xfId="7261" xr:uid="{00000000-0005-0000-0000-0000C9500000}"/>
    <cellStyle name="40% - Accent6 3 4 2 3 2" xfId="15233" xr:uid="{00000000-0005-0000-0000-0000CA500000}"/>
    <cellStyle name="40% - Accent6 3 4 2 3 3" xfId="23180" xr:uid="{00000000-0005-0000-0000-0000CB500000}"/>
    <cellStyle name="40% - Accent6 3 4 2 4" xfId="11697" xr:uid="{00000000-0005-0000-0000-0000CC500000}"/>
    <cellStyle name="40% - Accent6 3 4 2 5" xfId="19652" xr:uid="{00000000-0005-0000-0000-0000CD500000}"/>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3" xfId="24059" xr:uid="{00000000-0005-0000-0000-0000D2500000}"/>
    <cellStyle name="40% - Accent6 3 4 3 3" xfId="12575" xr:uid="{00000000-0005-0000-0000-0000D3500000}"/>
    <cellStyle name="40% - Accent6 3 4 3 4" xfId="20530" xr:uid="{00000000-0005-0000-0000-0000D4500000}"/>
    <cellStyle name="40% - Accent6 3 4 4" xfId="6380" xr:uid="{00000000-0005-0000-0000-0000D5500000}"/>
    <cellStyle name="40% - Accent6 3 4 4 2" xfId="14355" xr:uid="{00000000-0005-0000-0000-0000D6500000}"/>
    <cellStyle name="40% - Accent6 3 4 4 3" xfId="22302" xr:uid="{00000000-0005-0000-0000-0000D7500000}"/>
    <cellStyle name="40% - Accent6 3 4 5" xfId="9923" xr:uid="{00000000-0005-0000-0000-0000D8500000}"/>
    <cellStyle name="40% - Accent6 3 4 5 2" xfId="17881" xr:uid="{00000000-0005-0000-0000-0000D9500000}"/>
    <cellStyle name="40% - Accent6 3 4 5 3" xfId="25825" xr:uid="{00000000-0005-0000-0000-0000DA500000}"/>
    <cellStyle name="40% - Accent6 3 4 6" xfId="10819" xr:uid="{00000000-0005-0000-0000-0000DB500000}"/>
    <cellStyle name="40% - Accent6 3 4 7" xfId="18774" xr:uid="{00000000-0005-0000-0000-0000DC500000}"/>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3" xfId="24675" xr:uid="{00000000-0005-0000-0000-0000E2500000}"/>
    <cellStyle name="40% - Accent6 3 5 2 3" xfId="13191" xr:uid="{00000000-0005-0000-0000-0000E3500000}"/>
    <cellStyle name="40% - Accent6 3 5 2 4" xfId="21146" xr:uid="{00000000-0005-0000-0000-0000E4500000}"/>
    <cellStyle name="40% - Accent6 3 5 3" xfId="6999" xr:uid="{00000000-0005-0000-0000-0000E5500000}"/>
    <cellStyle name="40% - Accent6 3 5 3 2" xfId="14971" xr:uid="{00000000-0005-0000-0000-0000E6500000}"/>
    <cellStyle name="40% - Accent6 3 5 3 3" xfId="22918" xr:uid="{00000000-0005-0000-0000-0000E7500000}"/>
    <cellStyle name="40% - Accent6 3 5 4" xfId="11435" xr:uid="{00000000-0005-0000-0000-0000E8500000}"/>
    <cellStyle name="40% - Accent6 3 5 5" xfId="19390" xr:uid="{00000000-0005-0000-0000-0000E9500000}"/>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3" xfId="23797" xr:uid="{00000000-0005-0000-0000-0000EE500000}"/>
    <cellStyle name="40% - Accent6 3 6 3" xfId="12313" xr:uid="{00000000-0005-0000-0000-0000EF500000}"/>
    <cellStyle name="40% - Accent6 3 6 4" xfId="20268" xr:uid="{00000000-0005-0000-0000-0000F0500000}"/>
    <cellStyle name="40% - Accent6 3 7" xfId="6108" xr:uid="{00000000-0005-0000-0000-0000F1500000}"/>
    <cellStyle name="40% - Accent6 3 7 2" xfId="14092" xr:uid="{00000000-0005-0000-0000-0000F2500000}"/>
    <cellStyle name="40% - Accent6 3 7 3" xfId="22040" xr:uid="{00000000-0005-0000-0000-0000F3500000}"/>
    <cellStyle name="40% - Accent6 3 8" xfId="9661" xr:uid="{00000000-0005-0000-0000-0000F4500000}"/>
    <cellStyle name="40% - Accent6 3 8 2" xfId="17619" xr:uid="{00000000-0005-0000-0000-0000F5500000}"/>
    <cellStyle name="40% - Accent6 3 8 3" xfId="25563" xr:uid="{00000000-0005-0000-0000-0000F6500000}"/>
    <cellStyle name="40% - Accent6 3 9" xfId="10557" xr:uid="{00000000-0005-0000-0000-0000F7500000}"/>
    <cellStyle name="40% - Accent6 3_Exh G" xfId="3357" xr:uid="{00000000-0005-0000-0000-0000F8500000}"/>
    <cellStyle name="40% - Accent6 4" xfId="613" xr:uid="{00000000-0005-0000-0000-0000F9500000}"/>
    <cellStyle name="40% - Accent6 4 10" xfId="18516" xr:uid="{00000000-0005-0000-0000-0000FA500000}"/>
    <cellStyle name="40% - Accent6 4 2" xfId="614" xr:uid="{00000000-0005-0000-0000-0000FB500000}"/>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3" xfId="24681" xr:uid="{00000000-0005-0000-0000-000001510000}"/>
    <cellStyle name="40% - Accent6 4 2 2 2 2 3" xfId="13197" xr:uid="{00000000-0005-0000-0000-000002510000}"/>
    <cellStyle name="40% - Accent6 4 2 2 2 2 4" xfId="21152" xr:uid="{00000000-0005-0000-0000-000003510000}"/>
    <cellStyle name="40% - Accent6 4 2 2 2 3" xfId="7005" xr:uid="{00000000-0005-0000-0000-000004510000}"/>
    <cellStyle name="40% - Accent6 4 2 2 2 3 2" xfId="14977" xr:uid="{00000000-0005-0000-0000-000005510000}"/>
    <cellStyle name="40% - Accent6 4 2 2 2 3 3" xfId="22924" xr:uid="{00000000-0005-0000-0000-000006510000}"/>
    <cellStyle name="40% - Accent6 4 2 2 2 4" xfId="11441" xr:uid="{00000000-0005-0000-0000-000007510000}"/>
    <cellStyle name="40% - Accent6 4 2 2 2 5" xfId="19396" xr:uid="{00000000-0005-0000-0000-00000851000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3" xfId="23803" xr:uid="{00000000-0005-0000-0000-00000D510000}"/>
    <cellStyle name="40% - Accent6 4 2 2 3 3" xfId="12319" xr:uid="{00000000-0005-0000-0000-00000E510000}"/>
    <cellStyle name="40% - Accent6 4 2 2 3 4" xfId="20274" xr:uid="{00000000-0005-0000-0000-00000F510000}"/>
    <cellStyle name="40% - Accent6 4 2 2 4" xfId="6114" xr:uid="{00000000-0005-0000-0000-000010510000}"/>
    <cellStyle name="40% - Accent6 4 2 2 4 2" xfId="14098" xr:uid="{00000000-0005-0000-0000-000011510000}"/>
    <cellStyle name="40% - Accent6 4 2 2 4 3" xfId="22046" xr:uid="{00000000-0005-0000-0000-000012510000}"/>
    <cellStyle name="40% - Accent6 4 2 2 5" xfId="9667" xr:uid="{00000000-0005-0000-0000-000013510000}"/>
    <cellStyle name="40% - Accent6 4 2 2 5 2" xfId="17625" xr:uid="{00000000-0005-0000-0000-000014510000}"/>
    <cellStyle name="40% - Accent6 4 2 2 5 3" xfId="25569" xr:uid="{00000000-0005-0000-0000-000015510000}"/>
    <cellStyle name="40% - Accent6 4 2 2 6" xfId="10563" xr:uid="{00000000-0005-0000-0000-000016510000}"/>
    <cellStyle name="40% - Accent6 4 2 2 7" xfId="18518" xr:uid="{00000000-0005-0000-0000-000017510000}"/>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3" xfId="24940" xr:uid="{00000000-0005-0000-0000-00001E510000}"/>
    <cellStyle name="40% - Accent6 4 2 3 2 2 3" xfId="13456" xr:uid="{00000000-0005-0000-0000-00001F510000}"/>
    <cellStyle name="40% - Accent6 4 2 3 2 2 4" xfId="21411" xr:uid="{00000000-0005-0000-0000-000020510000}"/>
    <cellStyle name="40% - Accent6 4 2 3 2 3" xfId="7264" xr:uid="{00000000-0005-0000-0000-000021510000}"/>
    <cellStyle name="40% - Accent6 4 2 3 2 3 2" xfId="15236" xr:uid="{00000000-0005-0000-0000-000022510000}"/>
    <cellStyle name="40% - Accent6 4 2 3 2 3 3" xfId="23183" xr:uid="{00000000-0005-0000-0000-000023510000}"/>
    <cellStyle name="40% - Accent6 4 2 3 2 4" xfId="11700" xr:uid="{00000000-0005-0000-0000-000024510000}"/>
    <cellStyle name="40% - Accent6 4 2 3 2 5" xfId="19655" xr:uid="{00000000-0005-0000-0000-000025510000}"/>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3" xfId="24062" xr:uid="{00000000-0005-0000-0000-00002A510000}"/>
    <cellStyle name="40% - Accent6 4 2 3 3 3" xfId="12578" xr:uid="{00000000-0005-0000-0000-00002B510000}"/>
    <cellStyle name="40% - Accent6 4 2 3 3 4" xfId="20533" xr:uid="{00000000-0005-0000-0000-00002C510000}"/>
    <cellStyle name="40% - Accent6 4 2 3 4" xfId="6383" xr:uid="{00000000-0005-0000-0000-00002D510000}"/>
    <cellStyle name="40% - Accent6 4 2 3 4 2" xfId="14358" xr:uid="{00000000-0005-0000-0000-00002E510000}"/>
    <cellStyle name="40% - Accent6 4 2 3 4 3" xfId="22305" xr:uid="{00000000-0005-0000-0000-00002F510000}"/>
    <cellStyle name="40% - Accent6 4 2 3 5" xfId="9926" xr:uid="{00000000-0005-0000-0000-000030510000}"/>
    <cellStyle name="40% - Accent6 4 2 3 5 2" xfId="17884" xr:uid="{00000000-0005-0000-0000-000031510000}"/>
    <cellStyle name="40% - Accent6 4 2 3 5 3" xfId="25828" xr:uid="{00000000-0005-0000-0000-000032510000}"/>
    <cellStyle name="40% - Accent6 4 2 3 6" xfId="10822" xr:uid="{00000000-0005-0000-0000-000033510000}"/>
    <cellStyle name="40% - Accent6 4 2 3 7" xfId="18777" xr:uid="{00000000-0005-0000-0000-000034510000}"/>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3" xfId="24680" xr:uid="{00000000-0005-0000-0000-00003A510000}"/>
    <cellStyle name="40% - Accent6 4 2 4 2 3" xfId="13196" xr:uid="{00000000-0005-0000-0000-00003B510000}"/>
    <cellStyle name="40% - Accent6 4 2 4 2 4" xfId="21151" xr:uid="{00000000-0005-0000-0000-00003C510000}"/>
    <cellStyle name="40% - Accent6 4 2 4 3" xfId="7004" xr:uid="{00000000-0005-0000-0000-00003D510000}"/>
    <cellStyle name="40% - Accent6 4 2 4 3 2" xfId="14976" xr:uid="{00000000-0005-0000-0000-00003E510000}"/>
    <cellStyle name="40% - Accent6 4 2 4 3 3" xfId="22923" xr:uid="{00000000-0005-0000-0000-00003F510000}"/>
    <cellStyle name="40% - Accent6 4 2 4 4" xfId="11440" xr:uid="{00000000-0005-0000-0000-000040510000}"/>
    <cellStyle name="40% - Accent6 4 2 4 5" xfId="19395" xr:uid="{00000000-0005-0000-0000-000041510000}"/>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3" xfId="23802" xr:uid="{00000000-0005-0000-0000-000046510000}"/>
    <cellStyle name="40% - Accent6 4 2 5 3" xfId="12318" xr:uid="{00000000-0005-0000-0000-000047510000}"/>
    <cellStyle name="40% - Accent6 4 2 5 4" xfId="20273" xr:uid="{00000000-0005-0000-0000-000048510000}"/>
    <cellStyle name="40% - Accent6 4 2 6" xfId="6113" xr:uid="{00000000-0005-0000-0000-000049510000}"/>
    <cellStyle name="40% - Accent6 4 2 6 2" xfId="14097" xr:uid="{00000000-0005-0000-0000-00004A510000}"/>
    <cellStyle name="40% - Accent6 4 2 6 3" xfId="22045" xr:uid="{00000000-0005-0000-0000-00004B510000}"/>
    <cellStyle name="40% - Accent6 4 2 7" xfId="9666" xr:uid="{00000000-0005-0000-0000-00004C510000}"/>
    <cellStyle name="40% - Accent6 4 2 7 2" xfId="17624" xr:uid="{00000000-0005-0000-0000-00004D510000}"/>
    <cellStyle name="40% - Accent6 4 2 7 3" xfId="25568" xr:uid="{00000000-0005-0000-0000-00004E510000}"/>
    <cellStyle name="40% - Accent6 4 2 8" xfId="10562" xr:uid="{00000000-0005-0000-0000-00004F510000}"/>
    <cellStyle name="40% - Accent6 4 2 9" xfId="18517" xr:uid="{00000000-0005-0000-0000-000050510000}"/>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3" xfId="24682" xr:uid="{00000000-0005-0000-0000-000057510000}"/>
    <cellStyle name="40% - Accent6 4 3 2 2 3" xfId="13198" xr:uid="{00000000-0005-0000-0000-000058510000}"/>
    <cellStyle name="40% - Accent6 4 3 2 2 4" xfId="21153" xr:uid="{00000000-0005-0000-0000-000059510000}"/>
    <cellStyle name="40% - Accent6 4 3 2 3" xfId="7006" xr:uid="{00000000-0005-0000-0000-00005A510000}"/>
    <cellStyle name="40% - Accent6 4 3 2 3 2" xfId="14978" xr:uid="{00000000-0005-0000-0000-00005B510000}"/>
    <cellStyle name="40% - Accent6 4 3 2 3 3" xfId="22925" xr:uid="{00000000-0005-0000-0000-00005C510000}"/>
    <cellStyle name="40% - Accent6 4 3 2 4" xfId="11442" xr:uid="{00000000-0005-0000-0000-00005D510000}"/>
    <cellStyle name="40% - Accent6 4 3 2 5" xfId="19397" xr:uid="{00000000-0005-0000-0000-00005E510000}"/>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3" xfId="23804" xr:uid="{00000000-0005-0000-0000-000063510000}"/>
    <cellStyle name="40% - Accent6 4 3 3 3" xfId="12320" xr:uid="{00000000-0005-0000-0000-000064510000}"/>
    <cellStyle name="40% - Accent6 4 3 3 4" xfId="20275" xr:uid="{00000000-0005-0000-0000-000065510000}"/>
    <cellStyle name="40% - Accent6 4 3 4" xfId="6115" xr:uid="{00000000-0005-0000-0000-000066510000}"/>
    <cellStyle name="40% - Accent6 4 3 4 2" xfId="14099" xr:uid="{00000000-0005-0000-0000-000067510000}"/>
    <cellStyle name="40% - Accent6 4 3 4 3" xfId="22047" xr:uid="{00000000-0005-0000-0000-000068510000}"/>
    <cellStyle name="40% - Accent6 4 3 5" xfId="9668" xr:uid="{00000000-0005-0000-0000-000069510000}"/>
    <cellStyle name="40% - Accent6 4 3 5 2" xfId="17626" xr:uid="{00000000-0005-0000-0000-00006A510000}"/>
    <cellStyle name="40% - Accent6 4 3 5 3" xfId="25570" xr:uid="{00000000-0005-0000-0000-00006B510000}"/>
    <cellStyle name="40% - Accent6 4 3 6" xfId="10564" xr:uid="{00000000-0005-0000-0000-00006C510000}"/>
    <cellStyle name="40% - Accent6 4 3 7" xfId="18519" xr:uid="{00000000-0005-0000-0000-00006D510000}"/>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3" xfId="24939" xr:uid="{00000000-0005-0000-0000-000074510000}"/>
    <cellStyle name="40% - Accent6 4 4 2 2 3" xfId="13455" xr:uid="{00000000-0005-0000-0000-000075510000}"/>
    <cellStyle name="40% - Accent6 4 4 2 2 4" xfId="21410" xr:uid="{00000000-0005-0000-0000-000076510000}"/>
    <cellStyle name="40% - Accent6 4 4 2 3" xfId="7263" xr:uid="{00000000-0005-0000-0000-000077510000}"/>
    <cellStyle name="40% - Accent6 4 4 2 3 2" xfId="15235" xr:uid="{00000000-0005-0000-0000-000078510000}"/>
    <cellStyle name="40% - Accent6 4 4 2 3 3" xfId="23182" xr:uid="{00000000-0005-0000-0000-000079510000}"/>
    <cellStyle name="40% - Accent6 4 4 2 4" xfId="11699" xr:uid="{00000000-0005-0000-0000-00007A510000}"/>
    <cellStyle name="40% - Accent6 4 4 2 5" xfId="19654" xr:uid="{00000000-0005-0000-0000-00007B510000}"/>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3" xfId="24061" xr:uid="{00000000-0005-0000-0000-000080510000}"/>
    <cellStyle name="40% - Accent6 4 4 3 3" xfId="12577" xr:uid="{00000000-0005-0000-0000-000081510000}"/>
    <cellStyle name="40% - Accent6 4 4 3 4" xfId="20532" xr:uid="{00000000-0005-0000-0000-000082510000}"/>
    <cellStyle name="40% - Accent6 4 4 4" xfId="6382" xr:uid="{00000000-0005-0000-0000-000083510000}"/>
    <cellStyle name="40% - Accent6 4 4 4 2" xfId="14357" xr:uid="{00000000-0005-0000-0000-000084510000}"/>
    <cellStyle name="40% - Accent6 4 4 4 3" xfId="22304" xr:uid="{00000000-0005-0000-0000-000085510000}"/>
    <cellStyle name="40% - Accent6 4 4 5" xfId="9925" xr:uid="{00000000-0005-0000-0000-000086510000}"/>
    <cellStyle name="40% - Accent6 4 4 5 2" xfId="17883" xr:uid="{00000000-0005-0000-0000-000087510000}"/>
    <cellStyle name="40% - Accent6 4 4 5 3" xfId="25827" xr:uid="{00000000-0005-0000-0000-000088510000}"/>
    <cellStyle name="40% - Accent6 4 4 6" xfId="10821" xr:uid="{00000000-0005-0000-0000-000089510000}"/>
    <cellStyle name="40% - Accent6 4 4 7" xfId="18776" xr:uid="{00000000-0005-0000-0000-00008A510000}"/>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3" xfId="24679" xr:uid="{00000000-0005-0000-0000-000090510000}"/>
    <cellStyle name="40% - Accent6 4 5 2 3" xfId="13195" xr:uid="{00000000-0005-0000-0000-000091510000}"/>
    <cellStyle name="40% - Accent6 4 5 2 4" xfId="21150" xr:uid="{00000000-0005-0000-0000-000092510000}"/>
    <cellStyle name="40% - Accent6 4 5 3" xfId="7003" xr:uid="{00000000-0005-0000-0000-000093510000}"/>
    <cellStyle name="40% - Accent6 4 5 3 2" xfId="14975" xr:uid="{00000000-0005-0000-0000-000094510000}"/>
    <cellStyle name="40% - Accent6 4 5 3 3" xfId="22922" xr:uid="{00000000-0005-0000-0000-000095510000}"/>
    <cellStyle name="40% - Accent6 4 5 4" xfId="11439" xr:uid="{00000000-0005-0000-0000-000096510000}"/>
    <cellStyle name="40% - Accent6 4 5 5" xfId="19394" xr:uid="{00000000-0005-0000-0000-00009751000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3" xfId="23801" xr:uid="{00000000-0005-0000-0000-00009C510000}"/>
    <cellStyle name="40% - Accent6 4 6 3" xfId="12317" xr:uid="{00000000-0005-0000-0000-00009D510000}"/>
    <cellStyle name="40% - Accent6 4 6 4" xfId="20272" xr:uid="{00000000-0005-0000-0000-00009E510000}"/>
    <cellStyle name="40% - Accent6 4 7" xfId="6112" xr:uid="{00000000-0005-0000-0000-00009F510000}"/>
    <cellStyle name="40% - Accent6 4 7 2" xfId="14096" xr:uid="{00000000-0005-0000-0000-0000A0510000}"/>
    <cellStyle name="40% - Accent6 4 7 3" xfId="22044" xr:uid="{00000000-0005-0000-0000-0000A1510000}"/>
    <cellStyle name="40% - Accent6 4 8" xfId="9665" xr:uid="{00000000-0005-0000-0000-0000A2510000}"/>
    <cellStyle name="40% - Accent6 4 8 2" xfId="17623" xr:uid="{00000000-0005-0000-0000-0000A3510000}"/>
    <cellStyle name="40% - Accent6 4 8 3" xfId="25567" xr:uid="{00000000-0005-0000-0000-0000A4510000}"/>
    <cellStyle name="40% - Accent6 4 9" xfId="10561" xr:uid="{00000000-0005-0000-0000-0000A5510000}"/>
    <cellStyle name="40% - Accent6 4_Exh G" xfId="3369" xr:uid="{00000000-0005-0000-0000-0000A6510000}"/>
    <cellStyle name="40% - Accent6 5" xfId="617" xr:uid="{00000000-0005-0000-0000-0000A7510000}"/>
    <cellStyle name="40% - Accent6 5 10" xfId="18520" xr:uid="{00000000-0005-0000-0000-0000A8510000}"/>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3" xfId="24685" xr:uid="{00000000-0005-0000-0000-0000AF510000}"/>
    <cellStyle name="40% - Accent6 5 2 2 2 2 3" xfId="13201" xr:uid="{00000000-0005-0000-0000-0000B0510000}"/>
    <cellStyle name="40% - Accent6 5 2 2 2 2 4" xfId="21156" xr:uid="{00000000-0005-0000-0000-0000B1510000}"/>
    <cellStyle name="40% - Accent6 5 2 2 2 3" xfId="7009" xr:uid="{00000000-0005-0000-0000-0000B2510000}"/>
    <cellStyle name="40% - Accent6 5 2 2 2 3 2" xfId="14981" xr:uid="{00000000-0005-0000-0000-0000B3510000}"/>
    <cellStyle name="40% - Accent6 5 2 2 2 3 3" xfId="22928" xr:uid="{00000000-0005-0000-0000-0000B4510000}"/>
    <cellStyle name="40% - Accent6 5 2 2 2 4" xfId="11445" xr:uid="{00000000-0005-0000-0000-0000B5510000}"/>
    <cellStyle name="40% - Accent6 5 2 2 2 5" xfId="19400" xr:uid="{00000000-0005-0000-0000-0000B6510000}"/>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3" xfId="23807" xr:uid="{00000000-0005-0000-0000-0000BB510000}"/>
    <cellStyle name="40% - Accent6 5 2 2 3 3" xfId="12323" xr:uid="{00000000-0005-0000-0000-0000BC510000}"/>
    <cellStyle name="40% - Accent6 5 2 2 3 4" xfId="20278" xr:uid="{00000000-0005-0000-0000-0000BD510000}"/>
    <cellStyle name="40% - Accent6 5 2 2 4" xfId="6118" xr:uid="{00000000-0005-0000-0000-0000BE510000}"/>
    <cellStyle name="40% - Accent6 5 2 2 4 2" xfId="14102" xr:uid="{00000000-0005-0000-0000-0000BF510000}"/>
    <cellStyle name="40% - Accent6 5 2 2 4 3" xfId="22050" xr:uid="{00000000-0005-0000-0000-0000C0510000}"/>
    <cellStyle name="40% - Accent6 5 2 2 5" xfId="9671" xr:uid="{00000000-0005-0000-0000-0000C1510000}"/>
    <cellStyle name="40% - Accent6 5 2 2 5 2" xfId="17629" xr:uid="{00000000-0005-0000-0000-0000C2510000}"/>
    <cellStyle name="40% - Accent6 5 2 2 5 3" xfId="25573" xr:uid="{00000000-0005-0000-0000-0000C3510000}"/>
    <cellStyle name="40% - Accent6 5 2 2 6" xfId="10567" xr:uid="{00000000-0005-0000-0000-0000C4510000}"/>
    <cellStyle name="40% - Accent6 5 2 2 7" xfId="18522" xr:uid="{00000000-0005-0000-0000-0000C5510000}"/>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3" xfId="24684" xr:uid="{00000000-0005-0000-0000-0000CB510000}"/>
    <cellStyle name="40% - Accent6 5 2 3 2 3" xfId="13200" xr:uid="{00000000-0005-0000-0000-0000CC510000}"/>
    <cellStyle name="40% - Accent6 5 2 3 2 4" xfId="21155" xr:uid="{00000000-0005-0000-0000-0000CD510000}"/>
    <cellStyle name="40% - Accent6 5 2 3 3" xfId="7008" xr:uid="{00000000-0005-0000-0000-0000CE510000}"/>
    <cellStyle name="40% - Accent6 5 2 3 3 2" xfId="14980" xr:uid="{00000000-0005-0000-0000-0000CF510000}"/>
    <cellStyle name="40% - Accent6 5 2 3 3 3" xfId="22927" xr:uid="{00000000-0005-0000-0000-0000D0510000}"/>
    <cellStyle name="40% - Accent6 5 2 3 4" xfId="11444" xr:uid="{00000000-0005-0000-0000-0000D1510000}"/>
    <cellStyle name="40% - Accent6 5 2 3 5" xfId="19399" xr:uid="{00000000-0005-0000-0000-0000D2510000}"/>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3" xfId="23806" xr:uid="{00000000-0005-0000-0000-0000D7510000}"/>
    <cellStyle name="40% - Accent6 5 2 4 3" xfId="12322" xr:uid="{00000000-0005-0000-0000-0000D8510000}"/>
    <cellStyle name="40% - Accent6 5 2 4 4" xfId="20277" xr:uid="{00000000-0005-0000-0000-0000D9510000}"/>
    <cellStyle name="40% - Accent6 5 2 5" xfId="6117" xr:uid="{00000000-0005-0000-0000-0000DA510000}"/>
    <cellStyle name="40% - Accent6 5 2 5 2" xfId="14101" xr:uid="{00000000-0005-0000-0000-0000DB510000}"/>
    <cellStyle name="40% - Accent6 5 2 5 3" xfId="22049" xr:uid="{00000000-0005-0000-0000-0000DC510000}"/>
    <cellStyle name="40% - Accent6 5 2 6" xfId="9670" xr:uid="{00000000-0005-0000-0000-0000DD510000}"/>
    <cellStyle name="40% - Accent6 5 2 6 2" xfId="17628" xr:uid="{00000000-0005-0000-0000-0000DE510000}"/>
    <cellStyle name="40% - Accent6 5 2 6 3" xfId="25572" xr:uid="{00000000-0005-0000-0000-0000DF510000}"/>
    <cellStyle name="40% - Accent6 5 2 7" xfId="10566" xr:uid="{00000000-0005-0000-0000-0000E0510000}"/>
    <cellStyle name="40% - Accent6 5 2 8" xfId="18521" xr:uid="{00000000-0005-0000-0000-0000E1510000}"/>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3" xfId="24686" xr:uid="{00000000-0005-0000-0000-0000E8510000}"/>
    <cellStyle name="40% - Accent6 5 3 2 2 3" xfId="13202" xr:uid="{00000000-0005-0000-0000-0000E9510000}"/>
    <cellStyle name="40% - Accent6 5 3 2 2 4" xfId="21157" xr:uid="{00000000-0005-0000-0000-0000EA510000}"/>
    <cellStyle name="40% - Accent6 5 3 2 3" xfId="7010" xr:uid="{00000000-0005-0000-0000-0000EB510000}"/>
    <cellStyle name="40% - Accent6 5 3 2 3 2" xfId="14982" xr:uid="{00000000-0005-0000-0000-0000EC510000}"/>
    <cellStyle name="40% - Accent6 5 3 2 3 3" xfId="22929" xr:uid="{00000000-0005-0000-0000-0000ED510000}"/>
    <cellStyle name="40% - Accent6 5 3 2 4" xfId="11446" xr:uid="{00000000-0005-0000-0000-0000EE510000}"/>
    <cellStyle name="40% - Accent6 5 3 2 5" xfId="19401" xr:uid="{00000000-0005-0000-0000-0000EF510000}"/>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3" xfId="23808" xr:uid="{00000000-0005-0000-0000-0000F4510000}"/>
    <cellStyle name="40% - Accent6 5 3 3 3" xfId="12324" xr:uid="{00000000-0005-0000-0000-0000F5510000}"/>
    <cellStyle name="40% - Accent6 5 3 3 4" xfId="20279" xr:uid="{00000000-0005-0000-0000-0000F6510000}"/>
    <cellStyle name="40% - Accent6 5 3 4" xfId="6119" xr:uid="{00000000-0005-0000-0000-0000F7510000}"/>
    <cellStyle name="40% - Accent6 5 3 4 2" xfId="14103" xr:uid="{00000000-0005-0000-0000-0000F8510000}"/>
    <cellStyle name="40% - Accent6 5 3 4 3" xfId="22051" xr:uid="{00000000-0005-0000-0000-0000F9510000}"/>
    <cellStyle name="40% - Accent6 5 3 5" xfId="9672" xr:uid="{00000000-0005-0000-0000-0000FA510000}"/>
    <cellStyle name="40% - Accent6 5 3 5 2" xfId="17630" xr:uid="{00000000-0005-0000-0000-0000FB510000}"/>
    <cellStyle name="40% - Accent6 5 3 5 3" xfId="25574" xr:uid="{00000000-0005-0000-0000-0000FC510000}"/>
    <cellStyle name="40% - Accent6 5 3 6" xfId="10568" xr:uid="{00000000-0005-0000-0000-0000FD510000}"/>
    <cellStyle name="40% - Accent6 5 3 7" xfId="18523" xr:uid="{00000000-0005-0000-0000-0000FE510000}"/>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3" xfId="24683" xr:uid="{00000000-0005-0000-0000-000005520000}"/>
    <cellStyle name="40% - Accent6 5 5 2 3" xfId="13199" xr:uid="{00000000-0005-0000-0000-000006520000}"/>
    <cellStyle name="40% - Accent6 5 5 2 4" xfId="21154" xr:uid="{00000000-0005-0000-0000-000007520000}"/>
    <cellStyle name="40% - Accent6 5 5 3" xfId="7007" xr:uid="{00000000-0005-0000-0000-000008520000}"/>
    <cellStyle name="40% - Accent6 5 5 3 2" xfId="14979" xr:uid="{00000000-0005-0000-0000-000009520000}"/>
    <cellStyle name="40% - Accent6 5 5 3 3" xfId="22926" xr:uid="{00000000-0005-0000-0000-00000A520000}"/>
    <cellStyle name="40% - Accent6 5 5 4" xfId="11443" xr:uid="{00000000-0005-0000-0000-00000B520000}"/>
    <cellStyle name="40% - Accent6 5 5 5" xfId="19398" xr:uid="{00000000-0005-0000-0000-00000C520000}"/>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3" xfId="23805" xr:uid="{00000000-0005-0000-0000-000011520000}"/>
    <cellStyle name="40% - Accent6 5 6 3" xfId="12321" xr:uid="{00000000-0005-0000-0000-000012520000}"/>
    <cellStyle name="40% - Accent6 5 6 4" xfId="20276" xr:uid="{00000000-0005-0000-0000-000013520000}"/>
    <cellStyle name="40% - Accent6 5 7" xfId="6116" xr:uid="{00000000-0005-0000-0000-000014520000}"/>
    <cellStyle name="40% - Accent6 5 7 2" xfId="14100" xr:uid="{00000000-0005-0000-0000-000015520000}"/>
    <cellStyle name="40% - Accent6 5 7 3" xfId="22048" xr:uid="{00000000-0005-0000-0000-000016520000}"/>
    <cellStyle name="40% - Accent6 5 8" xfId="9669" xr:uid="{00000000-0005-0000-0000-000017520000}"/>
    <cellStyle name="40% - Accent6 5 8 2" xfId="17627" xr:uid="{00000000-0005-0000-0000-000018520000}"/>
    <cellStyle name="40% - Accent6 5 8 3" xfId="25571" xr:uid="{00000000-0005-0000-0000-000019520000}"/>
    <cellStyle name="40% - Accent6 5 9" xfId="10565" xr:uid="{00000000-0005-0000-0000-00001A520000}"/>
    <cellStyle name="40% - Accent6 5_Exh G" xfId="3381" xr:uid="{00000000-0005-0000-0000-00001B520000}"/>
    <cellStyle name="40% - Accent6 6" xfId="621" xr:uid="{00000000-0005-0000-0000-00001C520000}"/>
    <cellStyle name="40% - Accent6 6 10" xfId="18524" xr:uid="{00000000-0005-0000-0000-00001D520000}"/>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3" xfId="24689" xr:uid="{00000000-0005-0000-0000-000024520000}"/>
    <cellStyle name="40% - Accent6 6 2 2 2 2 3" xfId="13205" xr:uid="{00000000-0005-0000-0000-000025520000}"/>
    <cellStyle name="40% - Accent6 6 2 2 2 2 4" xfId="21160" xr:uid="{00000000-0005-0000-0000-000026520000}"/>
    <cellStyle name="40% - Accent6 6 2 2 2 3" xfId="7013" xr:uid="{00000000-0005-0000-0000-000027520000}"/>
    <cellStyle name="40% - Accent6 6 2 2 2 3 2" xfId="14985" xr:uid="{00000000-0005-0000-0000-000028520000}"/>
    <cellStyle name="40% - Accent6 6 2 2 2 3 3" xfId="22932" xr:uid="{00000000-0005-0000-0000-000029520000}"/>
    <cellStyle name="40% - Accent6 6 2 2 2 4" xfId="11449" xr:uid="{00000000-0005-0000-0000-00002A520000}"/>
    <cellStyle name="40% - Accent6 6 2 2 2 5" xfId="19404" xr:uid="{00000000-0005-0000-0000-00002B520000}"/>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3" xfId="23811" xr:uid="{00000000-0005-0000-0000-000030520000}"/>
    <cellStyle name="40% - Accent6 6 2 2 3 3" xfId="12327" xr:uid="{00000000-0005-0000-0000-000031520000}"/>
    <cellStyle name="40% - Accent6 6 2 2 3 4" xfId="20282" xr:uid="{00000000-0005-0000-0000-000032520000}"/>
    <cellStyle name="40% - Accent6 6 2 2 4" xfId="6122" xr:uid="{00000000-0005-0000-0000-000033520000}"/>
    <cellStyle name="40% - Accent6 6 2 2 4 2" xfId="14106" xr:uid="{00000000-0005-0000-0000-000034520000}"/>
    <cellStyle name="40% - Accent6 6 2 2 4 3" xfId="22054" xr:uid="{00000000-0005-0000-0000-000035520000}"/>
    <cellStyle name="40% - Accent6 6 2 2 5" xfId="9675" xr:uid="{00000000-0005-0000-0000-000036520000}"/>
    <cellStyle name="40% - Accent6 6 2 2 5 2" xfId="17633" xr:uid="{00000000-0005-0000-0000-000037520000}"/>
    <cellStyle name="40% - Accent6 6 2 2 5 3" xfId="25577" xr:uid="{00000000-0005-0000-0000-000038520000}"/>
    <cellStyle name="40% - Accent6 6 2 2 6" xfId="10571" xr:uid="{00000000-0005-0000-0000-000039520000}"/>
    <cellStyle name="40% - Accent6 6 2 2 7" xfId="18526" xr:uid="{00000000-0005-0000-0000-00003A520000}"/>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3" xfId="24688" xr:uid="{00000000-0005-0000-0000-000040520000}"/>
    <cellStyle name="40% - Accent6 6 2 3 2 3" xfId="13204" xr:uid="{00000000-0005-0000-0000-000041520000}"/>
    <cellStyle name="40% - Accent6 6 2 3 2 4" xfId="21159" xr:uid="{00000000-0005-0000-0000-000042520000}"/>
    <cellStyle name="40% - Accent6 6 2 3 3" xfId="7012" xr:uid="{00000000-0005-0000-0000-000043520000}"/>
    <cellStyle name="40% - Accent6 6 2 3 3 2" xfId="14984" xr:uid="{00000000-0005-0000-0000-000044520000}"/>
    <cellStyle name="40% - Accent6 6 2 3 3 3" xfId="22931" xr:uid="{00000000-0005-0000-0000-000045520000}"/>
    <cellStyle name="40% - Accent6 6 2 3 4" xfId="11448" xr:uid="{00000000-0005-0000-0000-000046520000}"/>
    <cellStyle name="40% - Accent6 6 2 3 5" xfId="19403" xr:uid="{00000000-0005-0000-0000-000047520000}"/>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3" xfId="23810" xr:uid="{00000000-0005-0000-0000-00004C520000}"/>
    <cellStyle name="40% - Accent6 6 2 4 3" xfId="12326" xr:uid="{00000000-0005-0000-0000-00004D520000}"/>
    <cellStyle name="40% - Accent6 6 2 4 4" xfId="20281" xr:uid="{00000000-0005-0000-0000-00004E520000}"/>
    <cellStyle name="40% - Accent6 6 2 5" xfId="6121" xr:uid="{00000000-0005-0000-0000-00004F520000}"/>
    <cellStyle name="40% - Accent6 6 2 5 2" xfId="14105" xr:uid="{00000000-0005-0000-0000-000050520000}"/>
    <cellStyle name="40% - Accent6 6 2 5 3" xfId="22053" xr:uid="{00000000-0005-0000-0000-000051520000}"/>
    <cellStyle name="40% - Accent6 6 2 6" xfId="9674" xr:uid="{00000000-0005-0000-0000-000052520000}"/>
    <cellStyle name="40% - Accent6 6 2 6 2" xfId="17632" xr:uid="{00000000-0005-0000-0000-000053520000}"/>
    <cellStyle name="40% - Accent6 6 2 6 3" xfId="25576" xr:uid="{00000000-0005-0000-0000-000054520000}"/>
    <cellStyle name="40% - Accent6 6 2 7" xfId="10570" xr:uid="{00000000-0005-0000-0000-000055520000}"/>
    <cellStyle name="40% - Accent6 6 2 8" xfId="18525" xr:uid="{00000000-0005-0000-0000-000056520000}"/>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3" xfId="24690" xr:uid="{00000000-0005-0000-0000-00005D520000}"/>
    <cellStyle name="40% - Accent6 6 3 2 2 3" xfId="13206" xr:uid="{00000000-0005-0000-0000-00005E520000}"/>
    <cellStyle name="40% - Accent6 6 3 2 2 4" xfId="21161" xr:uid="{00000000-0005-0000-0000-00005F520000}"/>
    <cellStyle name="40% - Accent6 6 3 2 3" xfId="7014" xr:uid="{00000000-0005-0000-0000-000060520000}"/>
    <cellStyle name="40% - Accent6 6 3 2 3 2" xfId="14986" xr:uid="{00000000-0005-0000-0000-000061520000}"/>
    <cellStyle name="40% - Accent6 6 3 2 3 3" xfId="22933" xr:uid="{00000000-0005-0000-0000-000062520000}"/>
    <cellStyle name="40% - Accent6 6 3 2 4" xfId="11450" xr:uid="{00000000-0005-0000-0000-000063520000}"/>
    <cellStyle name="40% - Accent6 6 3 2 5" xfId="19405" xr:uid="{00000000-0005-0000-0000-000064520000}"/>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3" xfId="23812" xr:uid="{00000000-0005-0000-0000-000069520000}"/>
    <cellStyle name="40% - Accent6 6 3 3 3" xfId="12328" xr:uid="{00000000-0005-0000-0000-00006A520000}"/>
    <cellStyle name="40% - Accent6 6 3 3 4" xfId="20283" xr:uid="{00000000-0005-0000-0000-00006B520000}"/>
    <cellStyle name="40% - Accent6 6 3 4" xfId="6123" xr:uid="{00000000-0005-0000-0000-00006C520000}"/>
    <cellStyle name="40% - Accent6 6 3 4 2" xfId="14107" xr:uid="{00000000-0005-0000-0000-00006D520000}"/>
    <cellStyle name="40% - Accent6 6 3 4 3" xfId="22055" xr:uid="{00000000-0005-0000-0000-00006E520000}"/>
    <cellStyle name="40% - Accent6 6 3 5" xfId="9676" xr:uid="{00000000-0005-0000-0000-00006F520000}"/>
    <cellStyle name="40% - Accent6 6 3 5 2" xfId="17634" xr:uid="{00000000-0005-0000-0000-000070520000}"/>
    <cellStyle name="40% - Accent6 6 3 5 3" xfId="25578" xr:uid="{00000000-0005-0000-0000-000071520000}"/>
    <cellStyle name="40% - Accent6 6 3 6" xfId="10572" xr:uid="{00000000-0005-0000-0000-000072520000}"/>
    <cellStyle name="40% - Accent6 6 3 7" xfId="18527" xr:uid="{00000000-0005-0000-0000-000073520000}"/>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3" xfId="24941" xr:uid="{00000000-0005-0000-0000-00007A520000}"/>
    <cellStyle name="40% - Accent6 6 4 2 2 3" xfId="13457" xr:uid="{00000000-0005-0000-0000-00007B520000}"/>
    <cellStyle name="40% - Accent6 6 4 2 2 4" xfId="21412" xr:uid="{00000000-0005-0000-0000-00007C520000}"/>
    <cellStyle name="40% - Accent6 6 4 2 3" xfId="7265" xr:uid="{00000000-0005-0000-0000-00007D520000}"/>
    <cellStyle name="40% - Accent6 6 4 2 3 2" xfId="15237" xr:uid="{00000000-0005-0000-0000-00007E520000}"/>
    <cellStyle name="40% - Accent6 6 4 2 3 3" xfId="23184" xr:uid="{00000000-0005-0000-0000-00007F520000}"/>
    <cellStyle name="40% - Accent6 6 4 2 4" xfId="11701" xr:uid="{00000000-0005-0000-0000-000080520000}"/>
    <cellStyle name="40% - Accent6 6 4 2 5" xfId="19656" xr:uid="{00000000-0005-0000-0000-000081520000}"/>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3" xfId="24063" xr:uid="{00000000-0005-0000-0000-000086520000}"/>
    <cellStyle name="40% - Accent6 6 4 3 3" xfId="12579" xr:uid="{00000000-0005-0000-0000-000087520000}"/>
    <cellStyle name="40% - Accent6 6 4 3 4" xfId="20534" xr:uid="{00000000-0005-0000-0000-000088520000}"/>
    <cellStyle name="40% - Accent6 6 4 4" xfId="6384" xr:uid="{00000000-0005-0000-0000-000089520000}"/>
    <cellStyle name="40% - Accent6 6 4 4 2" xfId="14359" xr:uid="{00000000-0005-0000-0000-00008A520000}"/>
    <cellStyle name="40% - Accent6 6 4 4 3" xfId="22306" xr:uid="{00000000-0005-0000-0000-00008B520000}"/>
    <cellStyle name="40% - Accent6 6 4 5" xfId="9927" xr:uid="{00000000-0005-0000-0000-00008C520000}"/>
    <cellStyle name="40% - Accent6 6 4 5 2" xfId="17885" xr:uid="{00000000-0005-0000-0000-00008D520000}"/>
    <cellStyle name="40% - Accent6 6 4 5 3" xfId="25829" xr:uid="{00000000-0005-0000-0000-00008E520000}"/>
    <cellStyle name="40% - Accent6 6 4 6" xfId="10823" xr:uid="{00000000-0005-0000-0000-00008F520000}"/>
    <cellStyle name="40% - Accent6 6 4 7" xfId="18778" xr:uid="{00000000-0005-0000-0000-000090520000}"/>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3" xfId="24687" xr:uid="{00000000-0005-0000-0000-000096520000}"/>
    <cellStyle name="40% - Accent6 6 5 2 3" xfId="13203" xr:uid="{00000000-0005-0000-0000-000097520000}"/>
    <cellStyle name="40% - Accent6 6 5 2 4" xfId="21158" xr:uid="{00000000-0005-0000-0000-000098520000}"/>
    <cellStyle name="40% - Accent6 6 5 3" xfId="7011" xr:uid="{00000000-0005-0000-0000-000099520000}"/>
    <cellStyle name="40% - Accent6 6 5 3 2" xfId="14983" xr:uid="{00000000-0005-0000-0000-00009A520000}"/>
    <cellStyle name="40% - Accent6 6 5 3 3" xfId="22930" xr:uid="{00000000-0005-0000-0000-00009B520000}"/>
    <cellStyle name="40% - Accent6 6 5 4" xfId="11447" xr:uid="{00000000-0005-0000-0000-00009C520000}"/>
    <cellStyle name="40% - Accent6 6 5 5" xfId="19402" xr:uid="{00000000-0005-0000-0000-00009D520000}"/>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3" xfId="23809" xr:uid="{00000000-0005-0000-0000-0000A2520000}"/>
    <cellStyle name="40% - Accent6 6 6 3" xfId="12325" xr:uid="{00000000-0005-0000-0000-0000A3520000}"/>
    <cellStyle name="40% - Accent6 6 6 4" xfId="20280" xr:uid="{00000000-0005-0000-0000-0000A4520000}"/>
    <cellStyle name="40% - Accent6 6 7" xfId="6120" xr:uid="{00000000-0005-0000-0000-0000A5520000}"/>
    <cellStyle name="40% - Accent6 6 7 2" xfId="14104" xr:uid="{00000000-0005-0000-0000-0000A6520000}"/>
    <cellStyle name="40% - Accent6 6 7 3" xfId="22052" xr:uid="{00000000-0005-0000-0000-0000A7520000}"/>
    <cellStyle name="40% - Accent6 6 8" xfId="9673" xr:uid="{00000000-0005-0000-0000-0000A8520000}"/>
    <cellStyle name="40% - Accent6 6 8 2" xfId="17631" xr:uid="{00000000-0005-0000-0000-0000A9520000}"/>
    <cellStyle name="40% - Accent6 6 8 3" xfId="25575" xr:uid="{00000000-0005-0000-0000-0000AA520000}"/>
    <cellStyle name="40% - Accent6 6 9" xfId="10569" xr:uid="{00000000-0005-0000-0000-0000AB520000}"/>
    <cellStyle name="40% - Accent6 6_Exh G" xfId="3389" xr:uid="{00000000-0005-0000-0000-0000AC520000}"/>
    <cellStyle name="40% - Accent6 7" xfId="625" xr:uid="{00000000-0005-0000-0000-0000AD520000}"/>
    <cellStyle name="40% - Accent6 7 10" xfId="18528" xr:uid="{00000000-0005-0000-0000-0000AE520000}"/>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3" xfId="24693" xr:uid="{00000000-0005-0000-0000-0000B5520000}"/>
    <cellStyle name="40% - Accent6 7 2 2 2 2 3" xfId="13209" xr:uid="{00000000-0005-0000-0000-0000B6520000}"/>
    <cellStyle name="40% - Accent6 7 2 2 2 2 4" xfId="21164" xr:uid="{00000000-0005-0000-0000-0000B7520000}"/>
    <cellStyle name="40% - Accent6 7 2 2 2 3" xfId="7017" xr:uid="{00000000-0005-0000-0000-0000B8520000}"/>
    <cellStyle name="40% - Accent6 7 2 2 2 3 2" xfId="14989" xr:uid="{00000000-0005-0000-0000-0000B9520000}"/>
    <cellStyle name="40% - Accent6 7 2 2 2 3 3" xfId="22936" xr:uid="{00000000-0005-0000-0000-0000BA520000}"/>
    <cellStyle name="40% - Accent6 7 2 2 2 4" xfId="11453" xr:uid="{00000000-0005-0000-0000-0000BB520000}"/>
    <cellStyle name="40% - Accent6 7 2 2 2 5" xfId="19408" xr:uid="{00000000-0005-0000-0000-0000BC520000}"/>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3" xfId="23815" xr:uid="{00000000-0005-0000-0000-0000C1520000}"/>
    <cellStyle name="40% - Accent6 7 2 2 3 3" xfId="12331" xr:uid="{00000000-0005-0000-0000-0000C2520000}"/>
    <cellStyle name="40% - Accent6 7 2 2 3 4" xfId="20286" xr:uid="{00000000-0005-0000-0000-0000C3520000}"/>
    <cellStyle name="40% - Accent6 7 2 2 4" xfId="6126" xr:uid="{00000000-0005-0000-0000-0000C4520000}"/>
    <cellStyle name="40% - Accent6 7 2 2 4 2" xfId="14110" xr:uid="{00000000-0005-0000-0000-0000C5520000}"/>
    <cellStyle name="40% - Accent6 7 2 2 4 3" xfId="22058" xr:uid="{00000000-0005-0000-0000-0000C6520000}"/>
    <cellStyle name="40% - Accent6 7 2 2 5" xfId="9679" xr:uid="{00000000-0005-0000-0000-0000C7520000}"/>
    <cellStyle name="40% - Accent6 7 2 2 5 2" xfId="17637" xr:uid="{00000000-0005-0000-0000-0000C8520000}"/>
    <cellStyle name="40% - Accent6 7 2 2 5 3" xfId="25581" xr:uid="{00000000-0005-0000-0000-0000C9520000}"/>
    <cellStyle name="40% - Accent6 7 2 2 6" xfId="10575" xr:uid="{00000000-0005-0000-0000-0000CA520000}"/>
    <cellStyle name="40% - Accent6 7 2 2 7" xfId="18530" xr:uid="{00000000-0005-0000-0000-0000CB520000}"/>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3" xfId="24692" xr:uid="{00000000-0005-0000-0000-0000D1520000}"/>
    <cellStyle name="40% - Accent6 7 2 3 2 3" xfId="13208" xr:uid="{00000000-0005-0000-0000-0000D2520000}"/>
    <cellStyle name="40% - Accent6 7 2 3 2 4" xfId="21163" xr:uid="{00000000-0005-0000-0000-0000D3520000}"/>
    <cellStyle name="40% - Accent6 7 2 3 3" xfId="7016" xr:uid="{00000000-0005-0000-0000-0000D4520000}"/>
    <cellStyle name="40% - Accent6 7 2 3 3 2" xfId="14988" xr:uid="{00000000-0005-0000-0000-0000D5520000}"/>
    <cellStyle name="40% - Accent6 7 2 3 3 3" xfId="22935" xr:uid="{00000000-0005-0000-0000-0000D6520000}"/>
    <cellStyle name="40% - Accent6 7 2 3 4" xfId="11452" xr:uid="{00000000-0005-0000-0000-0000D7520000}"/>
    <cellStyle name="40% - Accent6 7 2 3 5" xfId="19407" xr:uid="{00000000-0005-0000-0000-0000D8520000}"/>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3" xfId="23814" xr:uid="{00000000-0005-0000-0000-0000DD520000}"/>
    <cellStyle name="40% - Accent6 7 2 4 3" xfId="12330" xr:uid="{00000000-0005-0000-0000-0000DE520000}"/>
    <cellStyle name="40% - Accent6 7 2 4 4" xfId="20285" xr:uid="{00000000-0005-0000-0000-0000DF520000}"/>
    <cellStyle name="40% - Accent6 7 2 5" xfId="6125" xr:uid="{00000000-0005-0000-0000-0000E0520000}"/>
    <cellStyle name="40% - Accent6 7 2 5 2" xfId="14109" xr:uid="{00000000-0005-0000-0000-0000E1520000}"/>
    <cellStyle name="40% - Accent6 7 2 5 3" xfId="22057" xr:uid="{00000000-0005-0000-0000-0000E2520000}"/>
    <cellStyle name="40% - Accent6 7 2 6" xfId="9678" xr:uid="{00000000-0005-0000-0000-0000E3520000}"/>
    <cellStyle name="40% - Accent6 7 2 6 2" xfId="17636" xr:uid="{00000000-0005-0000-0000-0000E4520000}"/>
    <cellStyle name="40% - Accent6 7 2 6 3" xfId="25580" xr:uid="{00000000-0005-0000-0000-0000E5520000}"/>
    <cellStyle name="40% - Accent6 7 2 7" xfId="10574" xr:uid="{00000000-0005-0000-0000-0000E6520000}"/>
    <cellStyle name="40% - Accent6 7 2 8" xfId="18529" xr:uid="{00000000-0005-0000-0000-0000E7520000}"/>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3" xfId="24694" xr:uid="{00000000-0005-0000-0000-0000EE520000}"/>
    <cellStyle name="40% - Accent6 7 3 2 2 3" xfId="13210" xr:uid="{00000000-0005-0000-0000-0000EF520000}"/>
    <cellStyle name="40% - Accent6 7 3 2 2 4" xfId="21165" xr:uid="{00000000-0005-0000-0000-0000F0520000}"/>
    <cellStyle name="40% - Accent6 7 3 2 3" xfId="7018" xr:uid="{00000000-0005-0000-0000-0000F1520000}"/>
    <cellStyle name="40% - Accent6 7 3 2 3 2" xfId="14990" xr:uid="{00000000-0005-0000-0000-0000F2520000}"/>
    <cellStyle name="40% - Accent6 7 3 2 3 3" xfId="22937" xr:uid="{00000000-0005-0000-0000-0000F3520000}"/>
    <cellStyle name="40% - Accent6 7 3 2 4" xfId="11454" xr:uid="{00000000-0005-0000-0000-0000F4520000}"/>
    <cellStyle name="40% - Accent6 7 3 2 5" xfId="19409" xr:uid="{00000000-0005-0000-0000-0000F5520000}"/>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3" xfId="23816" xr:uid="{00000000-0005-0000-0000-0000FA520000}"/>
    <cellStyle name="40% - Accent6 7 3 3 3" xfId="12332" xr:uid="{00000000-0005-0000-0000-0000FB520000}"/>
    <cellStyle name="40% - Accent6 7 3 3 4" xfId="20287" xr:uid="{00000000-0005-0000-0000-0000FC520000}"/>
    <cellStyle name="40% - Accent6 7 3 4" xfId="6127" xr:uid="{00000000-0005-0000-0000-0000FD520000}"/>
    <cellStyle name="40% - Accent6 7 3 4 2" xfId="14111" xr:uid="{00000000-0005-0000-0000-0000FE520000}"/>
    <cellStyle name="40% - Accent6 7 3 4 3" xfId="22059" xr:uid="{00000000-0005-0000-0000-0000FF520000}"/>
    <cellStyle name="40% - Accent6 7 3 5" xfId="9680" xr:uid="{00000000-0005-0000-0000-000000530000}"/>
    <cellStyle name="40% - Accent6 7 3 5 2" xfId="17638" xr:uid="{00000000-0005-0000-0000-000001530000}"/>
    <cellStyle name="40% - Accent6 7 3 5 3" xfId="25582" xr:uid="{00000000-0005-0000-0000-000002530000}"/>
    <cellStyle name="40% - Accent6 7 3 6" xfId="10576" xr:uid="{00000000-0005-0000-0000-000003530000}"/>
    <cellStyle name="40% - Accent6 7 3 7" xfId="18531" xr:uid="{00000000-0005-0000-0000-000004530000}"/>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3" xfId="24942" xr:uid="{00000000-0005-0000-0000-00000B530000}"/>
    <cellStyle name="40% - Accent6 7 4 2 2 3" xfId="13458" xr:uid="{00000000-0005-0000-0000-00000C530000}"/>
    <cellStyle name="40% - Accent6 7 4 2 2 4" xfId="21413" xr:uid="{00000000-0005-0000-0000-00000D530000}"/>
    <cellStyle name="40% - Accent6 7 4 2 3" xfId="7266" xr:uid="{00000000-0005-0000-0000-00000E530000}"/>
    <cellStyle name="40% - Accent6 7 4 2 3 2" xfId="15238" xr:uid="{00000000-0005-0000-0000-00000F530000}"/>
    <cellStyle name="40% - Accent6 7 4 2 3 3" xfId="23185" xr:uid="{00000000-0005-0000-0000-000010530000}"/>
    <cellStyle name="40% - Accent6 7 4 2 4" xfId="11702" xr:uid="{00000000-0005-0000-0000-000011530000}"/>
    <cellStyle name="40% - Accent6 7 4 2 5" xfId="19657" xr:uid="{00000000-0005-0000-0000-000012530000}"/>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3" xfId="24064" xr:uid="{00000000-0005-0000-0000-000017530000}"/>
    <cellStyle name="40% - Accent6 7 4 3 3" xfId="12580" xr:uid="{00000000-0005-0000-0000-000018530000}"/>
    <cellStyle name="40% - Accent6 7 4 3 4" xfId="20535" xr:uid="{00000000-0005-0000-0000-000019530000}"/>
    <cellStyle name="40% - Accent6 7 4 4" xfId="6385" xr:uid="{00000000-0005-0000-0000-00001A530000}"/>
    <cellStyle name="40% - Accent6 7 4 4 2" xfId="14360" xr:uid="{00000000-0005-0000-0000-00001B530000}"/>
    <cellStyle name="40% - Accent6 7 4 4 3" xfId="22307" xr:uid="{00000000-0005-0000-0000-00001C530000}"/>
    <cellStyle name="40% - Accent6 7 4 5" xfId="9928" xr:uid="{00000000-0005-0000-0000-00001D530000}"/>
    <cellStyle name="40% - Accent6 7 4 5 2" xfId="17886" xr:uid="{00000000-0005-0000-0000-00001E530000}"/>
    <cellStyle name="40% - Accent6 7 4 5 3" xfId="25830" xr:uid="{00000000-0005-0000-0000-00001F530000}"/>
    <cellStyle name="40% - Accent6 7 4 6" xfId="10824" xr:uid="{00000000-0005-0000-0000-000020530000}"/>
    <cellStyle name="40% - Accent6 7 4 7" xfId="18779" xr:uid="{00000000-0005-0000-0000-000021530000}"/>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3" xfId="24691" xr:uid="{00000000-0005-0000-0000-000027530000}"/>
    <cellStyle name="40% - Accent6 7 5 2 3" xfId="13207" xr:uid="{00000000-0005-0000-0000-000028530000}"/>
    <cellStyle name="40% - Accent6 7 5 2 4" xfId="21162" xr:uid="{00000000-0005-0000-0000-000029530000}"/>
    <cellStyle name="40% - Accent6 7 5 3" xfId="7015" xr:uid="{00000000-0005-0000-0000-00002A530000}"/>
    <cellStyle name="40% - Accent6 7 5 3 2" xfId="14987" xr:uid="{00000000-0005-0000-0000-00002B530000}"/>
    <cellStyle name="40% - Accent6 7 5 3 3" xfId="22934" xr:uid="{00000000-0005-0000-0000-00002C530000}"/>
    <cellStyle name="40% - Accent6 7 5 4" xfId="11451" xr:uid="{00000000-0005-0000-0000-00002D530000}"/>
    <cellStyle name="40% - Accent6 7 5 5" xfId="19406" xr:uid="{00000000-0005-0000-0000-00002E530000}"/>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3" xfId="23813" xr:uid="{00000000-0005-0000-0000-000033530000}"/>
    <cellStyle name="40% - Accent6 7 6 3" xfId="12329" xr:uid="{00000000-0005-0000-0000-000034530000}"/>
    <cellStyle name="40% - Accent6 7 6 4" xfId="20284" xr:uid="{00000000-0005-0000-0000-000035530000}"/>
    <cellStyle name="40% - Accent6 7 7" xfId="6124" xr:uid="{00000000-0005-0000-0000-000036530000}"/>
    <cellStyle name="40% - Accent6 7 7 2" xfId="14108" xr:uid="{00000000-0005-0000-0000-000037530000}"/>
    <cellStyle name="40% - Accent6 7 7 3" xfId="22056" xr:uid="{00000000-0005-0000-0000-000038530000}"/>
    <cellStyle name="40% - Accent6 7 8" xfId="9677" xr:uid="{00000000-0005-0000-0000-000039530000}"/>
    <cellStyle name="40% - Accent6 7 8 2" xfId="17635" xr:uid="{00000000-0005-0000-0000-00003A530000}"/>
    <cellStyle name="40% - Accent6 7 8 3" xfId="25579" xr:uid="{00000000-0005-0000-0000-00003B530000}"/>
    <cellStyle name="40% - Accent6 7 9" xfId="10573" xr:uid="{00000000-0005-0000-0000-00003C530000}"/>
    <cellStyle name="40% - Accent6 7_Exh G" xfId="3399" xr:uid="{00000000-0005-0000-0000-00003D530000}"/>
    <cellStyle name="40% - Accent6 8" xfId="629" xr:uid="{00000000-0005-0000-0000-00003E530000}"/>
    <cellStyle name="40% - Accent6 8 10" xfId="18532" xr:uid="{00000000-0005-0000-0000-00003F530000}"/>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3" xfId="24697" xr:uid="{00000000-0005-0000-0000-000046530000}"/>
    <cellStyle name="40% - Accent6 8 2 2 2 2 3" xfId="13213" xr:uid="{00000000-0005-0000-0000-000047530000}"/>
    <cellStyle name="40% - Accent6 8 2 2 2 2 4" xfId="21168" xr:uid="{00000000-0005-0000-0000-000048530000}"/>
    <cellStyle name="40% - Accent6 8 2 2 2 3" xfId="7021" xr:uid="{00000000-0005-0000-0000-000049530000}"/>
    <cellStyle name="40% - Accent6 8 2 2 2 3 2" xfId="14993" xr:uid="{00000000-0005-0000-0000-00004A530000}"/>
    <cellStyle name="40% - Accent6 8 2 2 2 3 3" xfId="22940" xr:uid="{00000000-0005-0000-0000-00004B530000}"/>
    <cellStyle name="40% - Accent6 8 2 2 2 4" xfId="11457" xr:uid="{00000000-0005-0000-0000-00004C530000}"/>
    <cellStyle name="40% - Accent6 8 2 2 2 5" xfId="19412" xr:uid="{00000000-0005-0000-0000-00004D530000}"/>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3" xfId="23819" xr:uid="{00000000-0005-0000-0000-000052530000}"/>
    <cellStyle name="40% - Accent6 8 2 2 3 3" xfId="12335" xr:uid="{00000000-0005-0000-0000-000053530000}"/>
    <cellStyle name="40% - Accent6 8 2 2 3 4" xfId="20290" xr:uid="{00000000-0005-0000-0000-000054530000}"/>
    <cellStyle name="40% - Accent6 8 2 2 4" xfId="6130" xr:uid="{00000000-0005-0000-0000-000055530000}"/>
    <cellStyle name="40% - Accent6 8 2 2 4 2" xfId="14114" xr:uid="{00000000-0005-0000-0000-000056530000}"/>
    <cellStyle name="40% - Accent6 8 2 2 4 3" xfId="22062" xr:uid="{00000000-0005-0000-0000-000057530000}"/>
    <cellStyle name="40% - Accent6 8 2 2 5" xfId="9683" xr:uid="{00000000-0005-0000-0000-000058530000}"/>
    <cellStyle name="40% - Accent6 8 2 2 5 2" xfId="17641" xr:uid="{00000000-0005-0000-0000-000059530000}"/>
    <cellStyle name="40% - Accent6 8 2 2 5 3" xfId="25585" xr:uid="{00000000-0005-0000-0000-00005A530000}"/>
    <cellStyle name="40% - Accent6 8 2 2 6" xfId="10579" xr:uid="{00000000-0005-0000-0000-00005B530000}"/>
    <cellStyle name="40% - Accent6 8 2 2 7" xfId="18534" xr:uid="{00000000-0005-0000-0000-00005C530000}"/>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3" xfId="24696" xr:uid="{00000000-0005-0000-0000-000062530000}"/>
    <cellStyle name="40% - Accent6 8 2 3 2 3" xfId="13212" xr:uid="{00000000-0005-0000-0000-000063530000}"/>
    <cellStyle name="40% - Accent6 8 2 3 2 4" xfId="21167" xr:uid="{00000000-0005-0000-0000-000064530000}"/>
    <cellStyle name="40% - Accent6 8 2 3 3" xfId="7020" xr:uid="{00000000-0005-0000-0000-000065530000}"/>
    <cellStyle name="40% - Accent6 8 2 3 3 2" xfId="14992" xr:uid="{00000000-0005-0000-0000-000066530000}"/>
    <cellStyle name="40% - Accent6 8 2 3 3 3" xfId="22939" xr:uid="{00000000-0005-0000-0000-000067530000}"/>
    <cellStyle name="40% - Accent6 8 2 3 4" xfId="11456" xr:uid="{00000000-0005-0000-0000-000068530000}"/>
    <cellStyle name="40% - Accent6 8 2 3 5" xfId="19411" xr:uid="{00000000-0005-0000-0000-000069530000}"/>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3" xfId="23818" xr:uid="{00000000-0005-0000-0000-00006E530000}"/>
    <cellStyle name="40% - Accent6 8 2 4 3" xfId="12334" xr:uid="{00000000-0005-0000-0000-00006F530000}"/>
    <cellStyle name="40% - Accent6 8 2 4 4" xfId="20289" xr:uid="{00000000-0005-0000-0000-000070530000}"/>
    <cellStyle name="40% - Accent6 8 2 5" xfId="6129" xr:uid="{00000000-0005-0000-0000-000071530000}"/>
    <cellStyle name="40% - Accent6 8 2 5 2" xfId="14113" xr:uid="{00000000-0005-0000-0000-000072530000}"/>
    <cellStyle name="40% - Accent6 8 2 5 3" xfId="22061" xr:uid="{00000000-0005-0000-0000-000073530000}"/>
    <cellStyle name="40% - Accent6 8 2 6" xfId="9682" xr:uid="{00000000-0005-0000-0000-000074530000}"/>
    <cellStyle name="40% - Accent6 8 2 6 2" xfId="17640" xr:uid="{00000000-0005-0000-0000-000075530000}"/>
    <cellStyle name="40% - Accent6 8 2 6 3" xfId="25584" xr:uid="{00000000-0005-0000-0000-000076530000}"/>
    <cellStyle name="40% - Accent6 8 2 7" xfId="10578" xr:uid="{00000000-0005-0000-0000-000077530000}"/>
    <cellStyle name="40% - Accent6 8 2 8" xfId="18533" xr:uid="{00000000-0005-0000-0000-000078530000}"/>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3" xfId="24698" xr:uid="{00000000-0005-0000-0000-00007F530000}"/>
    <cellStyle name="40% - Accent6 8 3 2 2 3" xfId="13214" xr:uid="{00000000-0005-0000-0000-000080530000}"/>
    <cellStyle name="40% - Accent6 8 3 2 2 4" xfId="21169" xr:uid="{00000000-0005-0000-0000-000081530000}"/>
    <cellStyle name="40% - Accent6 8 3 2 3" xfId="7022" xr:uid="{00000000-0005-0000-0000-000082530000}"/>
    <cellStyle name="40% - Accent6 8 3 2 3 2" xfId="14994" xr:uid="{00000000-0005-0000-0000-000083530000}"/>
    <cellStyle name="40% - Accent6 8 3 2 3 3" xfId="22941" xr:uid="{00000000-0005-0000-0000-000084530000}"/>
    <cellStyle name="40% - Accent6 8 3 2 4" xfId="11458" xr:uid="{00000000-0005-0000-0000-000085530000}"/>
    <cellStyle name="40% - Accent6 8 3 2 5" xfId="19413" xr:uid="{00000000-0005-0000-0000-000086530000}"/>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3" xfId="23820" xr:uid="{00000000-0005-0000-0000-00008B530000}"/>
    <cellStyle name="40% - Accent6 8 3 3 3" xfId="12336" xr:uid="{00000000-0005-0000-0000-00008C530000}"/>
    <cellStyle name="40% - Accent6 8 3 3 4" xfId="20291" xr:uid="{00000000-0005-0000-0000-00008D530000}"/>
    <cellStyle name="40% - Accent6 8 3 4" xfId="6131" xr:uid="{00000000-0005-0000-0000-00008E530000}"/>
    <cellStyle name="40% - Accent6 8 3 4 2" xfId="14115" xr:uid="{00000000-0005-0000-0000-00008F530000}"/>
    <cellStyle name="40% - Accent6 8 3 4 3" xfId="22063" xr:uid="{00000000-0005-0000-0000-000090530000}"/>
    <cellStyle name="40% - Accent6 8 3 5" xfId="9684" xr:uid="{00000000-0005-0000-0000-000091530000}"/>
    <cellStyle name="40% - Accent6 8 3 5 2" xfId="17642" xr:uid="{00000000-0005-0000-0000-000092530000}"/>
    <cellStyle name="40% - Accent6 8 3 5 3" xfId="25586" xr:uid="{00000000-0005-0000-0000-000093530000}"/>
    <cellStyle name="40% - Accent6 8 3 6" xfId="10580" xr:uid="{00000000-0005-0000-0000-000094530000}"/>
    <cellStyle name="40% - Accent6 8 3 7" xfId="18535" xr:uid="{00000000-0005-0000-0000-000095530000}"/>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3" xfId="24943" xr:uid="{00000000-0005-0000-0000-00009C530000}"/>
    <cellStyle name="40% - Accent6 8 4 2 2 3" xfId="13459" xr:uid="{00000000-0005-0000-0000-00009D530000}"/>
    <cellStyle name="40% - Accent6 8 4 2 2 4" xfId="21414" xr:uid="{00000000-0005-0000-0000-00009E530000}"/>
    <cellStyle name="40% - Accent6 8 4 2 3" xfId="7267" xr:uid="{00000000-0005-0000-0000-00009F530000}"/>
    <cellStyle name="40% - Accent6 8 4 2 3 2" xfId="15239" xr:uid="{00000000-0005-0000-0000-0000A0530000}"/>
    <cellStyle name="40% - Accent6 8 4 2 3 3" xfId="23186" xr:uid="{00000000-0005-0000-0000-0000A1530000}"/>
    <cellStyle name="40% - Accent6 8 4 2 4" xfId="11703" xr:uid="{00000000-0005-0000-0000-0000A2530000}"/>
    <cellStyle name="40% - Accent6 8 4 2 5" xfId="19658" xr:uid="{00000000-0005-0000-0000-0000A3530000}"/>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3" xfId="24065" xr:uid="{00000000-0005-0000-0000-0000A8530000}"/>
    <cellStyle name="40% - Accent6 8 4 3 3" xfId="12581" xr:uid="{00000000-0005-0000-0000-0000A9530000}"/>
    <cellStyle name="40% - Accent6 8 4 3 4" xfId="20536" xr:uid="{00000000-0005-0000-0000-0000AA530000}"/>
    <cellStyle name="40% - Accent6 8 4 4" xfId="6386" xr:uid="{00000000-0005-0000-0000-0000AB530000}"/>
    <cellStyle name="40% - Accent6 8 4 4 2" xfId="14361" xr:uid="{00000000-0005-0000-0000-0000AC530000}"/>
    <cellStyle name="40% - Accent6 8 4 4 3" xfId="22308" xr:uid="{00000000-0005-0000-0000-0000AD530000}"/>
    <cellStyle name="40% - Accent6 8 4 5" xfId="9929" xr:uid="{00000000-0005-0000-0000-0000AE530000}"/>
    <cellStyle name="40% - Accent6 8 4 5 2" xfId="17887" xr:uid="{00000000-0005-0000-0000-0000AF530000}"/>
    <cellStyle name="40% - Accent6 8 4 5 3" xfId="25831" xr:uid="{00000000-0005-0000-0000-0000B0530000}"/>
    <cellStyle name="40% - Accent6 8 4 6" xfId="10825" xr:uid="{00000000-0005-0000-0000-0000B1530000}"/>
    <cellStyle name="40% - Accent6 8 4 7" xfId="18780" xr:uid="{00000000-0005-0000-0000-0000B2530000}"/>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3" xfId="24695" xr:uid="{00000000-0005-0000-0000-0000B8530000}"/>
    <cellStyle name="40% - Accent6 8 5 2 3" xfId="13211" xr:uid="{00000000-0005-0000-0000-0000B9530000}"/>
    <cellStyle name="40% - Accent6 8 5 2 4" xfId="21166" xr:uid="{00000000-0005-0000-0000-0000BA530000}"/>
    <cellStyle name="40% - Accent6 8 5 3" xfId="7019" xr:uid="{00000000-0005-0000-0000-0000BB530000}"/>
    <cellStyle name="40% - Accent6 8 5 3 2" xfId="14991" xr:uid="{00000000-0005-0000-0000-0000BC530000}"/>
    <cellStyle name="40% - Accent6 8 5 3 3" xfId="22938" xr:uid="{00000000-0005-0000-0000-0000BD530000}"/>
    <cellStyle name="40% - Accent6 8 5 4" xfId="11455" xr:uid="{00000000-0005-0000-0000-0000BE530000}"/>
    <cellStyle name="40% - Accent6 8 5 5" xfId="19410" xr:uid="{00000000-0005-0000-0000-0000BF530000}"/>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3" xfId="23817" xr:uid="{00000000-0005-0000-0000-0000C4530000}"/>
    <cellStyle name="40% - Accent6 8 6 3" xfId="12333" xr:uid="{00000000-0005-0000-0000-0000C5530000}"/>
    <cellStyle name="40% - Accent6 8 6 4" xfId="20288" xr:uid="{00000000-0005-0000-0000-0000C6530000}"/>
    <cellStyle name="40% - Accent6 8 7" xfId="6128" xr:uid="{00000000-0005-0000-0000-0000C7530000}"/>
    <cellStyle name="40% - Accent6 8 7 2" xfId="14112" xr:uid="{00000000-0005-0000-0000-0000C8530000}"/>
    <cellStyle name="40% - Accent6 8 7 3" xfId="22060" xr:uid="{00000000-0005-0000-0000-0000C9530000}"/>
    <cellStyle name="40% - Accent6 8 8" xfId="9681" xr:uid="{00000000-0005-0000-0000-0000CA530000}"/>
    <cellStyle name="40% - Accent6 8 8 2" xfId="17639" xr:uid="{00000000-0005-0000-0000-0000CB530000}"/>
    <cellStyle name="40% - Accent6 8 8 3" xfId="25583" xr:uid="{00000000-0005-0000-0000-0000CC530000}"/>
    <cellStyle name="40% - Accent6 8 9" xfId="10577" xr:uid="{00000000-0005-0000-0000-0000CD530000}"/>
    <cellStyle name="40% - Accent6 8_Exh G" xfId="3409" xr:uid="{00000000-0005-0000-0000-0000CE530000}"/>
    <cellStyle name="40% - Accent6 9" xfId="633" xr:uid="{00000000-0005-0000-0000-0000CF530000}"/>
    <cellStyle name="40% - Accent6 9 10" xfId="18536" xr:uid="{00000000-0005-0000-0000-0000D0530000}"/>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3" xfId="24701" xr:uid="{00000000-0005-0000-0000-0000D7530000}"/>
    <cellStyle name="40% - Accent6 9 2 2 2 2 3" xfId="13217" xr:uid="{00000000-0005-0000-0000-0000D8530000}"/>
    <cellStyle name="40% - Accent6 9 2 2 2 2 4" xfId="21172" xr:uid="{00000000-0005-0000-0000-0000D9530000}"/>
    <cellStyle name="40% - Accent6 9 2 2 2 3" xfId="7025" xr:uid="{00000000-0005-0000-0000-0000DA530000}"/>
    <cellStyle name="40% - Accent6 9 2 2 2 3 2" xfId="14997" xr:uid="{00000000-0005-0000-0000-0000DB530000}"/>
    <cellStyle name="40% - Accent6 9 2 2 2 3 3" xfId="22944" xr:uid="{00000000-0005-0000-0000-0000DC530000}"/>
    <cellStyle name="40% - Accent6 9 2 2 2 4" xfId="11461" xr:uid="{00000000-0005-0000-0000-0000DD530000}"/>
    <cellStyle name="40% - Accent6 9 2 2 2 5" xfId="19416" xr:uid="{00000000-0005-0000-0000-0000DE530000}"/>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3" xfId="23823" xr:uid="{00000000-0005-0000-0000-0000E3530000}"/>
    <cellStyle name="40% - Accent6 9 2 2 3 3" xfId="12339" xr:uid="{00000000-0005-0000-0000-0000E4530000}"/>
    <cellStyle name="40% - Accent6 9 2 2 3 4" xfId="20294" xr:uid="{00000000-0005-0000-0000-0000E5530000}"/>
    <cellStyle name="40% - Accent6 9 2 2 4" xfId="6134" xr:uid="{00000000-0005-0000-0000-0000E6530000}"/>
    <cellStyle name="40% - Accent6 9 2 2 4 2" xfId="14118" xr:uid="{00000000-0005-0000-0000-0000E7530000}"/>
    <cellStyle name="40% - Accent6 9 2 2 4 3" xfId="22066" xr:uid="{00000000-0005-0000-0000-0000E8530000}"/>
    <cellStyle name="40% - Accent6 9 2 2 5" xfId="9687" xr:uid="{00000000-0005-0000-0000-0000E9530000}"/>
    <cellStyle name="40% - Accent6 9 2 2 5 2" xfId="17645" xr:uid="{00000000-0005-0000-0000-0000EA530000}"/>
    <cellStyle name="40% - Accent6 9 2 2 5 3" xfId="25589" xr:uid="{00000000-0005-0000-0000-0000EB530000}"/>
    <cellStyle name="40% - Accent6 9 2 2 6" xfId="10583" xr:uid="{00000000-0005-0000-0000-0000EC530000}"/>
    <cellStyle name="40% - Accent6 9 2 2 7" xfId="18538" xr:uid="{00000000-0005-0000-0000-0000ED530000}"/>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3" xfId="24700" xr:uid="{00000000-0005-0000-0000-0000F3530000}"/>
    <cellStyle name="40% - Accent6 9 2 3 2 3" xfId="13216" xr:uid="{00000000-0005-0000-0000-0000F4530000}"/>
    <cellStyle name="40% - Accent6 9 2 3 2 4" xfId="21171" xr:uid="{00000000-0005-0000-0000-0000F5530000}"/>
    <cellStyle name="40% - Accent6 9 2 3 3" xfId="7024" xr:uid="{00000000-0005-0000-0000-0000F6530000}"/>
    <cellStyle name="40% - Accent6 9 2 3 3 2" xfId="14996" xr:uid="{00000000-0005-0000-0000-0000F7530000}"/>
    <cellStyle name="40% - Accent6 9 2 3 3 3" xfId="22943" xr:uid="{00000000-0005-0000-0000-0000F8530000}"/>
    <cellStyle name="40% - Accent6 9 2 3 4" xfId="11460" xr:uid="{00000000-0005-0000-0000-0000F9530000}"/>
    <cellStyle name="40% - Accent6 9 2 3 5" xfId="19415" xr:uid="{00000000-0005-0000-0000-0000FA530000}"/>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3" xfId="23822" xr:uid="{00000000-0005-0000-0000-0000FF530000}"/>
    <cellStyle name="40% - Accent6 9 2 4 3" xfId="12338" xr:uid="{00000000-0005-0000-0000-000000540000}"/>
    <cellStyle name="40% - Accent6 9 2 4 4" xfId="20293" xr:uid="{00000000-0005-0000-0000-000001540000}"/>
    <cellStyle name="40% - Accent6 9 2 5" xfId="6133" xr:uid="{00000000-0005-0000-0000-000002540000}"/>
    <cellStyle name="40% - Accent6 9 2 5 2" xfId="14117" xr:uid="{00000000-0005-0000-0000-000003540000}"/>
    <cellStyle name="40% - Accent6 9 2 5 3" xfId="22065" xr:uid="{00000000-0005-0000-0000-000004540000}"/>
    <cellStyle name="40% - Accent6 9 2 6" xfId="9686" xr:uid="{00000000-0005-0000-0000-000005540000}"/>
    <cellStyle name="40% - Accent6 9 2 6 2" xfId="17644" xr:uid="{00000000-0005-0000-0000-000006540000}"/>
    <cellStyle name="40% - Accent6 9 2 6 3" xfId="25588" xr:uid="{00000000-0005-0000-0000-000007540000}"/>
    <cellStyle name="40% - Accent6 9 2 7" xfId="10582" xr:uid="{00000000-0005-0000-0000-000008540000}"/>
    <cellStyle name="40% - Accent6 9 2 8" xfId="18537" xr:uid="{00000000-0005-0000-0000-000009540000}"/>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3" xfId="24702" xr:uid="{00000000-0005-0000-0000-000010540000}"/>
    <cellStyle name="40% - Accent6 9 3 2 2 3" xfId="13218" xr:uid="{00000000-0005-0000-0000-000011540000}"/>
    <cellStyle name="40% - Accent6 9 3 2 2 4" xfId="21173" xr:uid="{00000000-0005-0000-0000-000012540000}"/>
    <cellStyle name="40% - Accent6 9 3 2 3" xfId="7026" xr:uid="{00000000-0005-0000-0000-000013540000}"/>
    <cellStyle name="40% - Accent6 9 3 2 3 2" xfId="14998" xr:uid="{00000000-0005-0000-0000-000014540000}"/>
    <cellStyle name="40% - Accent6 9 3 2 3 3" xfId="22945" xr:uid="{00000000-0005-0000-0000-000015540000}"/>
    <cellStyle name="40% - Accent6 9 3 2 4" xfId="11462" xr:uid="{00000000-0005-0000-0000-000016540000}"/>
    <cellStyle name="40% - Accent6 9 3 2 5" xfId="19417" xr:uid="{00000000-0005-0000-0000-000017540000}"/>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3" xfId="23824" xr:uid="{00000000-0005-0000-0000-00001C540000}"/>
    <cellStyle name="40% - Accent6 9 3 3 3" xfId="12340" xr:uid="{00000000-0005-0000-0000-00001D540000}"/>
    <cellStyle name="40% - Accent6 9 3 3 4" xfId="20295" xr:uid="{00000000-0005-0000-0000-00001E540000}"/>
    <cellStyle name="40% - Accent6 9 3 4" xfId="6135" xr:uid="{00000000-0005-0000-0000-00001F540000}"/>
    <cellStyle name="40% - Accent6 9 3 4 2" xfId="14119" xr:uid="{00000000-0005-0000-0000-000020540000}"/>
    <cellStyle name="40% - Accent6 9 3 4 3" xfId="22067" xr:uid="{00000000-0005-0000-0000-000021540000}"/>
    <cellStyle name="40% - Accent6 9 3 5" xfId="9688" xr:uid="{00000000-0005-0000-0000-000022540000}"/>
    <cellStyle name="40% - Accent6 9 3 5 2" xfId="17646" xr:uid="{00000000-0005-0000-0000-000023540000}"/>
    <cellStyle name="40% - Accent6 9 3 5 3" xfId="25590" xr:uid="{00000000-0005-0000-0000-000024540000}"/>
    <cellStyle name="40% - Accent6 9 3 6" xfId="10584" xr:uid="{00000000-0005-0000-0000-000025540000}"/>
    <cellStyle name="40% - Accent6 9 3 7" xfId="18539" xr:uid="{00000000-0005-0000-0000-000026540000}"/>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3" xfId="24944" xr:uid="{00000000-0005-0000-0000-00002D540000}"/>
    <cellStyle name="40% - Accent6 9 4 2 2 3" xfId="13460" xr:uid="{00000000-0005-0000-0000-00002E540000}"/>
    <cellStyle name="40% - Accent6 9 4 2 2 4" xfId="21415" xr:uid="{00000000-0005-0000-0000-00002F540000}"/>
    <cellStyle name="40% - Accent6 9 4 2 3" xfId="7268" xr:uid="{00000000-0005-0000-0000-000030540000}"/>
    <cellStyle name="40% - Accent6 9 4 2 3 2" xfId="15240" xr:uid="{00000000-0005-0000-0000-000031540000}"/>
    <cellStyle name="40% - Accent6 9 4 2 3 3" xfId="23187" xr:uid="{00000000-0005-0000-0000-000032540000}"/>
    <cellStyle name="40% - Accent6 9 4 2 4" xfId="11704" xr:uid="{00000000-0005-0000-0000-000033540000}"/>
    <cellStyle name="40% - Accent6 9 4 2 5" xfId="19659" xr:uid="{00000000-0005-0000-0000-000034540000}"/>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3" xfId="24066" xr:uid="{00000000-0005-0000-0000-000039540000}"/>
    <cellStyle name="40% - Accent6 9 4 3 3" xfId="12582" xr:uid="{00000000-0005-0000-0000-00003A540000}"/>
    <cellStyle name="40% - Accent6 9 4 3 4" xfId="20537" xr:uid="{00000000-0005-0000-0000-00003B540000}"/>
    <cellStyle name="40% - Accent6 9 4 4" xfId="6387" xr:uid="{00000000-0005-0000-0000-00003C540000}"/>
    <cellStyle name="40% - Accent6 9 4 4 2" xfId="14362" xr:uid="{00000000-0005-0000-0000-00003D540000}"/>
    <cellStyle name="40% - Accent6 9 4 4 3" xfId="22309" xr:uid="{00000000-0005-0000-0000-00003E540000}"/>
    <cellStyle name="40% - Accent6 9 4 5" xfId="9930" xr:uid="{00000000-0005-0000-0000-00003F540000}"/>
    <cellStyle name="40% - Accent6 9 4 5 2" xfId="17888" xr:uid="{00000000-0005-0000-0000-000040540000}"/>
    <cellStyle name="40% - Accent6 9 4 5 3" xfId="25832" xr:uid="{00000000-0005-0000-0000-000041540000}"/>
    <cellStyle name="40% - Accent6 9 4 6" xfId="10826" xr:uid="{00000000-0005-0000-0000-000042540000}"/>
    <cellStyle name="40% - Accent6 9 4 7" xfId="18781" xr:uid="{00000000-0005-0000-0000-000043540000}"/>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3" xfId="24699" xr:uid="{00000000-0005-0000-0000-000049540000}"/>
    <cellStyle name="40% - Accent6 9 5 2 3" xfId="13215" xr:uid="{00000000-0005-0000-0000-00004A540000}"/>
    <cellStyle name="40% - Accent6 9 5 2 4" xfId="21170" xr:uid="{00000000-0005-0000-0000-00004B540000}"/>
    <cellStyle name="40% - Accent6 9 5 3" xfId="7023" xr:uid="{00000000-0005-0000-0000-00004C540000}"/>
    <cellStyle name="40% - Accent6 9 5 3 2" xfId="14995" xr:uid="{00000000-0005-0000-0000-00004D540000}"/>
    <cellStyle name="40% - Accent6 9 5 3 3" xfId="22942" xr:uid="{00000000-0005-0000-0000-00004E540000}"/>
    <cellStyle name="40% - Accent6 9 5 4" xfId="11459" xr:uid="{00000000-0005-0000-0000-00004F540000}"/>
    <cellStyle name="40% - Accent6 9 5 5" xfId="19414" xr:uid="{00000000-0005-0000-0000-000050540000}"/>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3" xfId="23821" xr:uid="{00000000-0005-0000-0000-000055540000}"/>
    <cellStyle name="40% - Accent6 9 6 3" xfId="12337" xr:uid="{00000000-0005-0000-0000-000056540000}"/>
    <cellStyle name="40% - Accent6 9 6 4" xfId="20292" xr:uid="{00000000-0005-0000-0000-000057540000}"/>
    <cellStyle name="40% - Accent6 9 7" xfId="6132" xr:uid="{00000000-0005-0000-0000-000058540000}"/>
    <cellStyle name="40% - Accent6 9 7 2" xfId="14116" xr:uid="{00000000-0005-0000-0000-000059540000}"/>
    <cellStyle name="40% - Accent6 9 7 3" xfId="22064" xr:uid="{00000000-0005-0000-0000-00005A540000}"/>
    <cellStyle name="40% - Accent6 9 8" xfId="9685" xr:uid="{00000000-0005-0000-0000-00005B540000}"/>
    <cellStyle name="40% - Accent6 9 8 2" xfId="17643" xr:uid="{00000000-0005-0000-0000-00005C540000}"/>
    <cellStyle name="40% - Accent6 9 8 3" xfId="25587" xr:uid="{00000000-0005-0000-0000-00005D540000}"/>
    <cellStyle name="40% - Accent6 9 9" xfId="10581" xr:uid="{00000000-0005-0000-0000-00005E540000}"/>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3" xfId="24945" xr:uid="{00000000-0005-0000-0000-0000A8540000}"/>
    <cellStyle name="Comma 3 2 2 2 3" xfId="13461" xr:uid="{00000000-0005-0000-0000-0000A9540000}"/>
    <cellStyle name="Comma 3 2 2 2 4" xfId="21416" xr:uid="{00000000-0005-0000-0000-0000AA540000}"/>
    <cellStyle name="Comma 3 2 2 3" xfId="7269" xr:uid="{00000000-0005-0000-0000-0000AB540000}"/>
    <cellStyle name="Comma 3 2 2 3 2" xfId="15241" xr:uid="{00000000-0005-0000-0000-0000AC540000}"/>
    <cellStyle name="Comma 3 2 2 3 3" xfId="23188" xr:uid="{00000000-0005-0000-0000-0000AD540000}"/>
    <cellStyle name="Comma 3 2 2 4" xfId="11705" xr:uid="{00000000-0005-0000-0000-0000AE540000}"/>
    <cellStyle name="Comma 3 2 2 5" xfId="19660" xr:uid="{00000000-0005-0000-0000-0000AF540000}"/>
    <cellStyle name="Comma 3 2 3" xfId="4558" xr:uid="{00000000-0005-0000-0000-0000B0540000}"/>
    <cellStyle name="Comma 3 2 3 2" xfId="8150" xr:uid="{00000000-0005-0000-0000-0000B1540000}"/>
    <cellStyle name="Comma 3 2 3 2 2" xfId="16121" xr:uid="{00000000-0005-0000-0000-0000B2540000}"/>
    <cellStyle name="Comma 3 2 3 2 3" xfId="24067" xr:uid="{00000000-0005-0000-0000-0000B3540000}"/>
    <cellStyle name="Comma 3 2 3 3" xfId="12583" xr:uid="{00000000-0005-0000-0000-0000B4540000}"/>
    <cellStyle name="Comma 3 2 3 4" xfId="20538" xr:uid="{00000000-0005-0000-0000-0000B5540000}"/>
    <cellStyle name="Comma 3 2 4" xfId="5473" xr:uid="{00000000-0005-0000-0000-0000B6540000}"/>
    <cellStyle name="Comma 3 2 5" xfId="6388" xr:uid="{00000000-0005-0000-0000-0000B7540000}"/>
    <cellStyle name="Comma 3 2 5 2" xfId="14363" xr:uid="{00000000-0005-0000-0000-0000B8540000}"/>
    <cellStyle name="Comma 3 2 5 3" xfId="22310" xr:uid="{00000000-0005-0000-0000-0000B9540000}"/>
    <cellStyle name="Comma 3 2 6" xfId="9931" xr:uid="{00000000-0005-0000-0000-0000BA540000}"/>
    <cellStyle name="Comma 3 2 6 2" xfId="17889" xr:uid="{00000000-0005-0000-0000-0000BB540000}"/>
    <cellStyle name="Comma 3 2 6 3" xfId="25833" xr:uid="{00000000-0005-0000-0000-0000BC540000}"/>
    <cellStyle name="Comma 3 2 7" xfId="10827" xr:uid="{00000000-0005-0000-0000-0000BD540000}"/>
    <cellStyle name="Comma 3 2 8" xfId="18782" xr:uid="{00000000-0005-0000-0000-0000BE5400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3" xfId="24089" xr:uid="{00000000-0005-0000-0000-0000CA540000}"/>
    <cellStyle name="Comma 6 2 2 3" xfId="12605" xr:uid="{00000000-0005-0000-0000-0000CB540000}"/>
    <cellStyle name="Comma 6 2 2 4" xfId="20560" xr:uid="{00000000-0005-0000-0000-0000CC540000}"/>
    <cellStyle name="Comma 6 2 3" xfId="6413" xr:uid="{00000000-0005-0000-0000-0000CD540000}"/>
    <cellStyle name="Comma 6 2 3 2" xfId="14385" xr:uid="{00000000-0005-0000-0000-0000CE540000}"/>
    <cellStyle name="Comma 6 2 3 3" xfId="22332" xr:uid="{00000000-0005-0000-0000-0000CF540000}"/>
    <cellStyle name="Comma 6 2 4" xfId="10849" xr:uid="{00000000-0005-0000-0000-0000D0540000}"/>
    <cellStyle name="Comma 6 2 5" xfId="18804" xr:uid="{00000000-0005-0000-0000-0000D1540000}"/>
    <cellStyle name="Comma 6 3" xfId="3702" xr:uid="{00000000-0005-0000-0000-0000D2540000}"/>
    <cellStyle name="Comma 6 3 2" xfId="7294" xr:uid="{00000000-0005-0000-0000-0000D3540000}"/>
    <cellStyle name="Comma 6 3 2 2" xfId="15265" xr:uid="{00000000-0005-0000-0000-0000D4540000}"/>
    <cellStyle name="Comma 6 3 2 3" xfId="23211" xr:uid="{00000000-0005-0000-0000-0000D5540000}"/>
    <cellStyle name="Comma 6 3 3" xfId="11727" xr:uid="{00000000-0005-0000-0000-0000D6540000}"/>
    <cellStyle name="Comma 6 3 4" xfId="19682" xr:uid="{00000000-0005-0000-0000-0000D7540000}"/>
    <cellStyle name="Comma 6 4" xfId="5522" xr:uid="{00000000-0005-0000-0000-0000D8540000}"/>
    <cellStyle name="Comma 6 4 2" xfId="13506" xr:uid="{00000000-0005-0000-0000-0000D9540000}"/>
    <cellStyle name="Comma 6 4 3" xfId="21454" xr:uid="{00000000-0005-0000-0000-0000DA540000}"/>
    <cellStyle name="Comma 6 5" xfId="9075" xr:uid="{00000000-0005-0000-0000-0000DB540000}"/>
    <cellStyle name="Comma 6 5 2" xfId="17033" xr:uid="{00000000-0005-0000-0000-0000DC540000}"/>
    <cellStyle name="Comma 6 5 3" xfId="24977" xr:uid="{00000000-0005-0000-0000-0000DD540000}"/>
    <cellStyle name="Comma 6 6" xfId="9971" xr:uid="{00000000-0005-0000-0000-0000DE540000}"/>
    <cellStyle name="Comma 6 7" xfId="17926" xr:uid="{00000000-0005-0000-0000-0000DF54000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3" xfId="24808" xr:uid="{00000000-0005-0000-0000-0000E6540000}"/>
    <cellStyle name="Comma 8 2 2 3" xfId="13324" xr:uid="{00000000-0005-0000-0000-0000E7540000}"/>
    <cellStyle name="Comma 8 2 2 4" xfId="21279" xr:uid="{00000000-0005-0000-0000-0000E8540000}"/>
    <cellStyle name="Comma 8 2 3" xfId="7132" xr:uid="{00000000-0005-0000-0000-0000E9540000}"/>
    <cellStyle name="Comma 8 2 3 2" xfId="15104" xr:uid="{00000000-0005-0000-0000-0000EA540000}"/>
    <cellStyle name="Comma 8 2 3 3" xfId="23051" xr:uid="{00000000-0005-0000-0000-0000EB540000}"/>
    <cellStyle name="Comma 8 2 4" xfId="11568" xr:uid="{00000000-0005-0000-0000-0000EC540000}"/>
    <cellStyle name="Comma 8 2 5" xfId="19523" xr:uid="{00000000-0005-0000-0000-0000ED540000}"/>
    <cellStyle name="Comma 8 3" xfId="4421" xr:uid="{00000000-0005-0000-0000-0000EE540000}"/>
    <cellStyle name="Comma 8 3 2" xfId="8013" xr:uid="{00000000-0005-0000-0000-0000EF540000}"/>
    <cellStyle name="Comma 8 3 2 2" xfId="15984" xr:uid="{00000000-0005-0000-0000-0000F0540000}"/>
    <cellStyle name="Comma 8 3 2 3" xfId="23930" xr:uid="{00000000-0005-0000-0000-0000F1540000}"/>
    <cellStyle name="Comma 8 3 3" xfId="12446" xr:uid="{00000000-0005-0000-0000-0000F2540000}"/>
    <cellStyle name="Comma 8 3 4" xfId="20401" xr:uid="{00000000-0005-0000-0000-0000F3540000}"/>
    <cellStyle name="Comma 8 4" xfId="6251" xr:uid="{00000000-0005-0000-0000-0000F4540000}"/>
    <cellStyle name="Comma 8 4 2" xfId="14226" xr:uid="{00000000-0005-0000-0000-0000F5540000}"/>
    <cellStyle name="Comma 8 4 3" xfId="22173" xr:uid="{00000000-0005-0000-0000-0000F6540000}"/>
    <cellStyle name="Comma 8 5" xfId="9794" xr:uid="{00000000-0005-0000-0000-0000F7540000}"/>
    <cellStyle name="Comma 8 5 2" xfId="17752" xr:uid="{00000000-0005-0000-0000-0000F8540000}"/>
    <cellStyle name="Comma 8 5 3" xfId="25696" xr:uid="{00000000-0005-0000-0000-0000F9540000}"/>
    <cellStyle name="Comma 8 6" xfId="10690" xr:uid="{00000000-0005-0000-0000-0000FA540000}"/>
    <cellStyle name="Comma 8 7" xfId="18645" xr:uid="{00000000-0005-0000-0000-0000FB540000}"/>
    <cellStyle name="Comma 8 8" xfId="25873" xr:uid="{00000000-0005-0000-0000-0000FC540000}"/>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3" xfId="24810" xr:uid="{00000000-0005-0000-0000-000002550000}"/>
    <cellStyle name="Comma 9 2 2 3" xfId="13326" xr:uid="{00000000-0005-0000-0000-000003550000}"/>
    <cellStyle name="Comma 9 2 2 4" xfId="21281" xr:uid="{00000000-0005-0000-0000-000004550000}"/>
    <cellStyle name="Comma 9 2 3" xfId="7134" xr:uid="{00000000-0005-0000-0000-000005550000}"/>
    <cellStyle name="Comma 9 2 3 2" xfId="15106" xr:uid="{00000000-0005-0000-0000-000006550000}"/>
    <cellStyle name="Comma 9 2 3 3" xfId="23053" xr:uid="{00000000-0005-0000-0000-000007550000}"/>
    <cellStyle name="Comma 9 2 4" xfId="11570" xr:uid="{00000000-0005-0000-0000-000008550000}"/>
    <cellStyle name="Comma 9 2 5" xfId="19525" xr:uid="{00000000-0005-0000-0000-000009550000}"/>
    <cellStyle name="Comma 9 3" xfId="4423" xr:uid="{00000000-0005-0000-0000-00000A550000}"/>
    <cellStyle name="Comma 9 3 2" xfId="8015" xr:uid="{00000000-0005-0000-0000-00000B550000}"/>
    <cellStyle name="Comma 9 3 2 2" xfId="15986" xr:uid="{00000000-0005-0000-0000-00000C550000}"/>
    <cellStyle name="Comma 9 3 2 3" xfId="23932" xr:uid="{00000000-0005-0000-0000-00000D550000}"/>
    <cellStyle name="Comma 9 3 3" xfId="12448" xr:uid="{00000000-0005-0000-0000-00000E550000}"/>
    <cellStyle name="Comma 9 3 4" xfId="20403" xr:uid="{00000000-0005-0000-0000-00000F550000}"/>
    <cellStyle name="Comma 9 4" xfId="6253" xr:uid="{00000000-0005-0000-0000-000010550000}"/>
    <cellStyle name="Comma 9 4 2" xfId="14228" xr:uid="{00000000-0005-0000-0000-000011550000}"/>
    <cellStyle name="Comma 9 4 3" xfId="22175" xr:uid="{00000000-0005-0000-0000-000012550000}"/>
    <cellStyle name="Comma 9 5" xfId="9796" xr:uid="{00000000-0005-0000-0000-000013550000}"/>
    <cellStyle name="Comma 9 5 2" xfId="17754" xr:uid="{00000000-0005-0000-0000-000014550000}"/>
    <cellStyle name="Comma 9 5 3" xfId="25698" xr:uid="{00000000-0005-0000-0000-000015550000}"/>
    <cellStyle name="Comma 9 6" xfId="10692" xr:uid="{00000000-0005-0000-0000-000016550000}"/>
    <cellStyle name="Comma 9 7" xfId="18647" xr:uid="{00000000-0005-0000-0000-000017550000}"/>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3" xfId="24804" xr:uid="{00000000-0005-0000-0000-000022550000}"/>
    <cellStyle name="Currency 3 3 2 3" xfId="13320" xr:uid="{00000000-0005-0000-0000-000023550000}"/>
    <cellStyle name="Currency 3 3 2 4" xfId="21275" xr:uid="{00000000-0005-0000-0000-000024550000}"/>
    <cellStyle name="Currency 3 3 3" xfId="7128" xr:uid="{00000000-0005-0000-0000-000025550000}"/>
    <cellStyle name="Currency 3 3 3 2" xfId="15100" xr:uid="{00000000-0005-0000-0000-000026550000}"/>
    <cellStyle name="Currency 3 3 3 3" xfId="23047" xr:uid="{00000000-0005-0000-0000-000027550000}"/>
    <cellStyle name="Currency 3 3 4" xfId="11564" xr:uid="{00000000-0005-0000-0000-000028550000}"/>
    <cellStyle name="Currency 3 3 5" xfId="19519" xr:uid="{00000000-0005-0000-0000-000029550000}"/>
    <cellStyle name="Currency 3 4" xfId="4417" xr:uid="{00000000-0005-0000-0000-00002A550000}"/>
    <cellStyle name="Currency 3 4 2" xfId="8009" xr:uid="{00000000-0005-0000-0000-00002B550000}"/>
    <cellStyle name="Currency 3 4 2 2" xfId="15980" xr:uid="{00000000-0005-0000-0000-00002C550000}"/>
    <cellStyle name="Currency 3 4 2 3" xfId="23926" xr:uid="{00000000-0005-0000-0000-00002D550000}"/>
    <cellStyle name="Currency 3 4 3" xfId="12442" xr:uid="{00000000-0005-0000-0000-00002E550000}"/>
    <cellStyle name="Currency 3 4 4" xfId="20397" xr:uid="{00000000-0005-0000-0000-00002F550000}"/>
    <cellStyle name="Currency 3 5" xfId="6237" xr:uid="{00000000-0005-0000-0000-000030550000}"/>
    <cellStyle name="Currency 3 5 2" xfId="14221" xr:uid="{00000000-0005-0000-0000-000031550000}"/>
    <cellStyle name="Currency 3 5 3" xfId="22169" xr:uid="{00000000-0005-0000-0000-000032550000}"/>
    <cellStyle name="Currency 3 6" xfId="9790" xr:uid="{00000000-0005-0000-0000-000033550000}"/>
    <cellStyle name="Currency 3 6 2" xfId="17748" xr:uid="{00000000-0005-0000-0000-000034550000}"/>
    <cellStyle name="Currency 3 6 3" xfId="25692" xr:uid="{00000000-0005-0000-0000-000035550000}"/>
    <cellStyle name="Currency 3 7" xfId="10686" xr:uid="{00000000-0005-0000-0000-000036550000}"/>
    <cellStyle name="Currency 3 8" xfId="18641" xr:uid="{00000000-0005-0000-0000-000037550000}"/>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3" xfId="24824" xr:uid="{00000000-0005-0000-0000-00003D550000}"/>
    <cellStyle name="Currency 4 2 2 3" xfId="13340" xr:uid="{00000000-0005-0000-0000-00003E550000}"/>
    <cellStyle name="Currency 4 2 2 4" xfId="21295" xr:uid="{00000000-0005-0000-0000-00003F550000}"/>
    <cellStyle name="Currency 4 2 3" xfId="7148" xr:uid="{00000000-0005-0000-0000-000040550000}"/>
    <cellStyle name="Currency 4 2 3 2" xfId="15120" xr:uid="{00000000-0005-0000-0000-000041550000}"/>
    <cellStyle name="Currency 4 2 3 3" xfId="23067" xr:uid="{00000000-0005-0000-0000-000042550000}"/>
    <cellStyle name="Currency 4 2 4" xfId="11584" xr:uid="{00000000-0005-0000-0000-000043550000}"/>
    <cellStyle name="Currency 4 2 5" xfId="19539" xr:uid="{00000000-0005-0000-0000-000044550000}"/>
    <cellStyle name="Currency 4 3" xfId="4437" xr:uid="{00000000-0005-0000-0000-000045550000}"/>
    <cellStyle name="Currency 4 3 2" xfId="8029" xr:uid="{00000000-0005-0000-0000-000046550000}"/>
    <cellStyle name="Currency 4 3 2 2" xfId="16000" xr:uid="{00000000-0005-0000-0000-000047550000}"/>
    <cellStyle name="Currency 4 3 2 3" xfId="23946" xr:uid="{00000000-0005-0000-0000-000048550000}"/>
    <cellStyle name="Currency 4 3 3" xfId="12462" xr:uid="{00000000-0005-0000-0000-000049550000}"/>
    <cellStyle name="Currency 4 3 4" xfId="20417" xr:uid="{00000000-0005-0000-0000-00004A550000}"/>
    <cellStyle name="Currency 4 4" xfId="6267" xr:uid="{00000000-0005-0000-0000-00004B550000}"/>
    <cellStyle name="Currency 4 4 2" xfId="14242" xr:uid="{00000000-0005-0000-0000-00004C550000}"/>
    <cellStyle name="Currency 4 4 3" xfId="22189" xr:uid="{00000000-0005-0000-0000-00004D550000}"/>
    <cellStyle name="Currency 4 5" xfId="9810" xr:uid="{00000000-0005-0000-0000-00004E550000}"/>
    <cellStyle name="Currency 4 5 2" xfId="17768" xr:uid="{00000000-0005-0000-0000-00004F550000}"/>
    <cellStyle name="Currency 4 5 3" xfId="25712" xr:uid="{00000000-0005-0000-0000-000050550000}"/>
    <cellStyle name="Currency 4 6" xfId="10706" xr:uid="{00000000-0005-0000-0000-000051550000}"/>
    <cellStyle name="Currency 4 7" xfId="18661" xr:uid="{00000000-0005-0000-0000-000052550000}"/>
    <cellStyle name="Currency 5" xfId="25868" xr:uid="{00000000-0005-0000-0000-000053550000}"/>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3" xfId="24705" xr:uid="{00000000-0005-0000-0000-00007C550000}"/>
    <cellStyle name="Normal 10 2 2 2 2 3" xfId="13221" xr:uid="{00000000-0005-0000-0000-00007D550000}"/>
    <cellStyle name="Normal 10 2 2 2 2 4" xfId="21176" xr:uid="{00000000-0005-0000-0000-00007E550000}"/>
    <cellStyle name="Normal 10 2 2 2 3" xfId="7029" xr:uid="{00000000-0005-0000-0000-00007F550000}"/>
    <cellStyle name="Normal 10 2 2 2 3 2" xfId="15001" xr:uid="{00000000-0005-0000-0000-000080550000}"/>
    <cellStyle name="Normal 10 2 2 2 3 3" xfId="22948" xr:uid="{00000000-0005-0000-0000-000081550000}"/>
    <cellStyle name="Normal 10 2 2 2 4" xfId="11465" xr:uid="{00000000-0005-0000-0000-000082550000}"/>
    <cellStyle name="Normal 10 2 2 2 5" xfId="19420" xr:uid="{00000000-0005-0000-0000-000083550000}"/>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3" xfId="23827" xr:uid="{00000000-0005-0000-0000-000088550000}"/>
    <cellStyle name="Normal 10 2 2 3 3" xfId="12343" xr:uid="{00000000-0005-0000-0000-000089550000}"/>
    <cellStyle name="Normal 10 2 2 3 4" xfId="20298" xr:uid="{00000000-0005-0000-0000-00008A550000}"/>
    <cellStyle name="Normal 10 2 2 4" xfId="6138" xr:uid="{00000000-0005-0000-0000-00008B550000}"/>
    <cellStyle name="Normal 10 2 2 4 2" xfId="14122" xr:uid="{00000000-0005-0000-0000-00008C550000}"/>
    <cellStyle name="Normal 10 2 2 4 3" xfId="22070" xr:uid="{00000000-0005-0000-0000-00008D550000}"/>
    <cellStyle name="Normal 10 2 2 5" xfId="9691" xr:uid="{00000000-0005-0000-0000-00008E550000}"/>
    <cellStyle name="Normal 10 2 2 5 2" xfId="17649" xr:uid="{00000000-0005-0000-0000-00008F550000}"/>
    <cellStyle name="Normal 10 2 2 5 3" xfId="25593" xr:uid="{00000000-0005-0000-0000-000090550000}"/>
    <cellStyle name="Normal 10 2 2 6" xfId="10587" xr:uid="{00000000-0005-0000-0000-000091550000}"/>
    <cellStyle name="Normal 10 2 2 7" xfId="18542" xr:uid="{00000000-0005-0000-0000-000092550000}"/>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3" xfId="24704" xr:uid="{00000000-0005-0000-0000-000098550000}"/>
    <cellStyle name="Normal 10 2 3 2 3" xfId="13220" xr:uid="{00000000-0005-0000-0000-000099550000}"/>
    <cellStyle name="Normal 10 2 3 2 4" xfId="21175" xr:uid="{00000000-0005-0000-0000-00009A550000}"/>
    <cellStyle name="Normal 10 2 3 3" xfId="7028" xr:uid="{00000000-0005-0000-0000-00009B550000}"/>
    <cellStyle name="Normal 10 2 3 3 2" xfId="15000" xr:uid="{00000000-0005-0000-0000-00009C550000}"/>
    <cellStyle name="Normal 10 2 3 3 3" xfId="22947" xr:uid="{00000000-0005-0000-0000-00009D550000}"/>
    <cellStyle name="Normal 10 2 3 4" xfId="11464" xr:uid="{00000000-0005-0000-0000-00009E550000}"/>
    <cellStyle name="Normal 10 2 3 5" xfId="19419" xr:uid="{00000000-0005-0000-0000-00009F550000}"/>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3" xfId="23826" xr:uid="{00000000-0005-0000-0000-0000A4550000}"/>
    <cellStyle name="Normal 10 2 4 3" xfId="12342" xr:uid="{00000000-0005-0000-0000-0000A5550000}"/>
    <cellStyle name="Normal 10 2 4 4" xfId="20297" xr:uid="{00000000-0005-0000-0000-0000A6550000}"/>
    <cellStyle name="Normal 10 2 5" xfId="6137" xr:uid="{00000000-0005-0000-0000-0000A7550000}"/>
    <cellStyle name="Normal 10 2 5 2" xfId="14121" xr:uid="{00000000-0005-0000-0000-0000A8550000}"/>
    <cellStyle name="Normal 10 2 5 3" xfId="22069" xr:uid="{00000000-0005-0000-0000-0000A9550000}"/>
    <cellStyle name="Normal 10 2 6" xfId="9690" xr:uid="{00000000-0005-0000-0000-0000AA550000}"/>
    <cellStyle name="Normal 10 2 6 2" xfId="17648" xr:uid="{00000000-0005-0000-0000-0000AB550000}"/>
    <cellStyle name="Normal 10 2 6 3" xfId="25592" xr:uid="{00000000-0005-0000-0000-0000AC550000}"/>
    <cellStyle name="Normal 10 2 7" xfId="10586" xr:uid="{00000000-0005-0000-0000-0000AD550000}"/>
    <cellStyle name="Normal 10 2 8" xfId="18541" xr:uid="{00000000-0005-0000-0000-0000AE550000}"/>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3" xfId="24706" xr:uid="{00000000-0005-0000-0000-0000B5550000}"/>
    <cellStyle name="Normal 10 3 2 2 3" xfId="13222" xr:uid="{00000000-0005-0000-0000-0000B6550000}"/>
    <cellStyle name="Normal 10 3 2 2 4" xfId="21177" xr:uid="{00000000-0005-0000-0000-0000B7550000}"/>
    <cellStyle name="Normal 10 3 2 3" xfId="7030" xr:uid="{00000000-0005-0000-0000-0000B8550000}"/>
    <cellStyle name="Normal 10 3 2 3 2" xfId="15002" xr:uid="{00000000-0005-0000-0000-0000B9550000}"/>
    <cellStyle name="Normal 10 3 2 3 3" xfId="22949" xr:uid="{00000000-0005-0000-0000-0000BA550000}"/>
    <cellStyle name="Normal 10 3 2 4" xfId="11466" xr:uid="{00000000-0005-0000-0000-0000BB550000}"/>
    <cellStyle name="Normal 10 3 2 5" xfId="19421" xr:uid="{00000000-0005-0000-0000-0000BC550000}"/>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3" xfId="23828" xr:uid="{00000000-0005-0000-0000-0000C1550000}"/>
    <cellStyle name="Normal 10 3 3 3" xfId="12344" xr:uid="{00000000-0005-0000-0000-0000C2550000}"/>
    <cellStyle name="Normal 10 3 3 4" xfId="20299" xr:uid="{00000000-0005-0000-0000-0000C3550000}"/>
    <cellStyle name="Normal 10 3 4" xfId="6139" xr:uid="{00000000-0005-0000-0000-0000C4550000}"/>
    <cellStyle name="Normal 10 3 4 2" xfId="14123" xr:uid="{00000000-0005-0000-0000-0000C5550000}"/>
    <cellStyle name="Normal 10 3 4 3" xfId="22071" xr:uid="{00000000-0005-0000-0000-0000C6550000}"/>
    <cellStyle name="Normal 10 3 5" xfId="9692" xr:uid="{00000000-0005-0000-0000-0000C7550000}"/>
    <cellStyle name="Normal 10 3 5 2" xfId="17650" xr:uid="{00000000-0005-0000-0000-0000C8550000}"/>
    <cellStyle name="Normal 10 3 5 3" xfId="25594" xr:uid="{00000000-0005-0000-0000-0000C9550000}"/>
    <cellStyle name="Normal 10 3 6" xfId="10588" xr:uid="{00000000-0005-0000-0000-0000CA550000}"/>
    <cellStyle name="Normal 10 3 7" xfId="18543" xr:uid="{00000000-0005-0000-0000-0000CB550000}"/>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3" xfId="24703" xr:uid="{00000000-0005-0000-0000-0000D2550000}"/>
    <cellStyle name="Normal 10 5 2 3" xfId="13219" xr:uid="{00000000-0005-0000-0000-0000D3550000}"/>
    <cellStyle name="Normal 10 5 2 4" xfId="21174" xr:uid="{00000000-0005-0000-0000-0000D4550000}"/>
    <cellStyle name="Normal 10 5 3" xfId="7027" xr:uid="{00000000-0005-0000-0000-0000D5550000}"/>
    <cellStyle name="Normal 10 5 3 2" xfId="14999" xr:uid="{00000000-0005-0000-0000-0000D6550000}"/>
    <cellStyle name="Normal 10 5 3 3" xfId="22946" xr:uid="{00000000-0005-0000-0000-0000D7550000}"/>
    <cellStyle name="Normal 10 5 4" xfId="11463" xr:uid="{00000000-0005-0000-0000-0000D8550000}"/>
    <cellStyle name="Normal 10 5 5" xfId="19418" xr:uid="{00000000-0005-0000-0000-0000D9550000}"/>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3" xfId="23825" xr:uid="{00000000-0005-0000-0000-0000DE550000}"/>
    <cellStyle name="Normal 10 6 3" xfId="12341" xr:uid="{00000000-0005-0000-0000-0000DF550000}"/>
    <cellStyle name="Normal 10 6 4" xfId="20296" xr:uid="{00000000-0005-0000-0000-0000E0550000}"/>
    <cellStyle name="Normal 10 7" xfId="6136" xr:uid="{00000000-0005-0000-0000-0000E1550000}"/>
    <cellStyle name="Normal 10 7 2" xfId="14120" xr:uid="{00000000-0005-0000-0000-0000E2550000}"/>
    <cellStyle name="Normal 10 7 3" xfId="22068" xr:uid="{00000000-0005-0000-0000-0000E3550000}"/>
    <cellStyle name="Normal 10 8" xfId="9689" xr:uid="{00000000-0005-0000-0000-0000E4550000}"/>
    <cellStyle name="Normal 10 8 2" xfId="17647" xr:uid="{00000000-0005-0000-0000-0000E5550000}"/>
    <cellStyle name="Normal 10 8 3" xfId="25591" xr:uid="{00000000-0005-0000-0000-0000E6550000}"/>
    <cellStyle name="Normal 10 9" xfId="10585" xr:uid="{00000000-0005-0000-0000-0000E7550000}"/>
    <cellStyle name="Normal 10_Exh G" xfId="3429" xr:uid="{00000000-0005-0000-0000-0000E8550000}"/>
    <cellStyle name="Normal 11" xfId="641" xr:uid="{00000000-0005-0000-0000-0000E9550000}"/>
    <cellStyle name="Normal 11 10" xfId="18544" xr:uid="{00000000-0005-0000-0000-0000EA550000}"/>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3" xfId="24709" xr:uid="{00000000-0005-0000-0000-0000F1550000}"/>
    <cellStyle name="Normal 11 2 2 2 2 3" xfId="13225" xr:uid="{00000000-0005-0000-0000-0000F2550000}"/>
    <cellStyle name="Normal 11 2 2 2 2 4" xfId="21180" xr:uid="{00000000-0005-0000-0000-0000F3550000}"/>
    <cellStyle name="Normal 11 2 2 2 3" xfId="7033" xr:uid="{00000000-0005-0000-0000-0000F4550000}"/>
    <cellStyle name="Normal 11 2 2 2 3 2" xfId="15005" xr:uid="{00000000-0005-0000-0000-0000F5550000}"/>
    <cellStyle name="Normal 11 2 2 2 3 3" xfId="22952" xr:uid="{00000000-0005-0000-0000-0000F6550000}"/>
    <cellStyle name="Normal 11 2 2 2 4" xfId="11469" xr:uid="{00000000-0005-0000-0000-0000F7550000}"/>
    <cellStyle name="Normal 11 2 2 2 5" xfId="19424" xr:uid="{00000000-0005-0000-0000-0000F8550000}"/>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3" xfId="23831" xr:uid="{00000000-0005-0000-0000-0000FD550000}"/>
    <cellStyle name="Normal 11 2 2 3 3" xfId="12347" xr:uid="{00000000-0005-0000-0000-0000FE550000}"/>
    <cellStyle name="Normal 11 2 2 3 4" xfId="20302" xr:uid="{00000000-0005-0000-0000-0000FF550000}"/>
    <cellStyle name="Normal 11 2 2 4" xfId="6142" xr:uid="{00000000-0005-0000-0000-000000560000}"/>
    <cellStyle name="Normal 11 2 2 4 2" xfId="14126" xr:uid="{00000000-0005-0000-0000-000001560000}"/>
    <cellStyle name="Normal 11 2 2 4 3" xfId="22074" xr:uid="{00000000-0005-0000-0000-000002560000}"/>
    <cellStyle name="Normal 11 2 2 5" xfId="9695" xr:uid="{00000000-0005-0000-0000-000003560000}"/>
    <cellStyle name="Normal 11 2 2 5 2" xfId="17653" xr:uid="{00000000-0005-0000-0000-000004560000}"/>
    <cellStyle name="Normal 11 2 2 5 3" xfId="25597" xr:uid="{00000000-0005-0000-0000-000005560000}"/>
    <cellStyle name="Normal 11 2 2 6" xfId="10591" xr:uid="{00000000-0005-0000-0000-000006560000}"/>
    <cellStyle name="Normal 11 2 2 7" xfId="18546" xr:uid="{00000000-0005-0000-0000-000007560000}"/>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3" xfId="24708" xr:uid="{00000000-0005-0000-0000-00000D560000}"/>
    <cellStyle name="Normal 11 2 3 2 3" xfId="13224" xr:uid="{00000000-0005-0000-0000-00000E560000}"/>
    <cellStyle name="Normal 11 2 3 2 4" xfId="21179" xr:uid="{00000000-0005-0000-0000-00000F560000}"/>
    <cellStyle name="Normal 11 2 3 3" xfId="7032" xr:uid="{00000000-0005-0000-0000-000010560000}"/>
    <cellStyle name="Normal 11 2 3 3 2" xfId="15004" xr:uid="{00000000-0005-0000-0000-000011560000}"/>
    <cellStyle name="Normal 11 2 3 3 3" xfId="22951" xr:uid="{00000000-0005-0000-0000-000012560000}"/>
    <cellStyle name="Normal 11 2 3 4" xfId="11468" xr:uid="{00000000-0005-0000-0000-000013560000}"/>
    <cellStyle name="Normal 11 2 3 5" xfId="19423" xr:uid="{00000000-0005-0000-0000-000014560000}"/>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3" xfId="23830" xr:uid="{00000000-0005-0000-0000-000019560000}"/>
    <cellStyle name="Normal 11 2 4 3" xfId="12346" xr:uid="{00000000-0005-0000-0000-00001A560000}"/>
    <cellStyle name="Normal 11 2 4 4" xfId="20301" xr:uid="{00000000-0005-0000-0000-00001B560000}"/>
    <cellStyle name="Normal 11 2 5" xfId="6141" xr:uid="{00000000-0005-0000-0000-00001C560000}"/>
    <cellStyle name="Normal 11 2 5 2" xfId="14125" xr:uid="{00000000-0005-0000-0000-00001D560000}"/>
    <cellStyle name="Normal 11 2 5 3" xfId="22073" xr:uid="{00000000-0005-0000-0000-00001E560000}"/>
    <cellStyle name="Normal 11 2 6" xfId="9694" xr:uid="{00000000-0005-0000-0000-00001F560000}"/>
    <cellStyle name="Normal 11 2 6 2" xfId="17652" xr:uid="{00000000-0005-0000-0000-000020560000}"/>
    <cellStyle name="Normal 11 2 6 3" xfId="25596" xr:uid="{00000000-0005-0000-0000-000021560000}"/>
    <cellStyle name="Normal 11 2 7" xfId="10590" xr:uid="{00000000-0005-0000-0000-000022560000}"/>
    <cellStyle name="Normal 11 2 8" xfId="18545" xr:uid="{00000000-0005-0000-0000-000023560000}"/>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3" xfId="24710" xr:uid="{00000000-0005-0000-0000-00002A560000}"/>
    <cellStyle name="Normal 11 3 2 2 3" xfId="13226" xr:uid="{00000000-0005-0000-0000-00002B560000}"/>
    <cellStyle name="Normal 11 3 2 2 4" xfId="21181" xr:uid="{00000000-0005-0000-0000-00002C560000}"/>
    <cellStyle name="Normal 11 3 2 3" xfId="7034" xr:uid="{00000000-0005-0000-0000-00002D560000}"/>
    <cellStyle name="Normal 11 3 2 3 2" xfId="15006" xr:uid="{00000000-0005-0000-0000-00002E560000}"/>
    <cellStyle name="Normal 11 3 2 3 3" xfId="22953" xr:uid="{00000000-0005-0000-0000-00002F560000}"/>
    <cellStyle name="Normal 11 3 2 4" xfId="11470" xr:uid="{00000000-0005-0000-0000-000030560000}"/>
    <cellStyle name="Normal 11 3 2 5" xfId="19425" xr:uid="{00000000-0005-0000-0000-000031560000}"/>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3" xfId="23832" xr:uid="{00000000-0005-0000-0000-000036560000}"/>
    <cellStyle name="Normal 11 3 3 3" xfId="12348" xr:uid="{00000000-0005-0000-0000-000037560000}"/>
    <cellStyle name="Normal 11 3 3 4" xfId="20303" xr:uid="{00000000-0005-0000-0000-000038560000}"/>
    <cellStyle name="Normal 11 3 4" xfId="6143" xr:uid="{00000000-0005-0000-0000-000039560000}"/>
    <cellStyle name="Normal 11 3 4 2" xfId="14127" xr:uid="{00000000-0005-0000-0000-00003A560000}"/>
    <cellStyle name="Normal 11 3 4 3" xfId="22075" xr:uid="{00000000-0005-0000-0000-00003B560000}"/>
    <cellStyle name="Normal 11 3 5" xfId="9696" xr:uid="{00000000-0005-0000-0000-00003C560000}"/>
    <cellStyle name="Normal 11 3 5 2" xfId="17654" xr:uid="{00000000-0005-0000-0000-00003D560000}"/>
    <cellStyle name="Normal 11 3 5 3" xfId="25598" xr:uid="{00000000-0005-0000-0000-00003E560000}"/>
    <cellStyle name="Normal 11 3 6" xfId="10592" xr:uid="{00000000-0005-0000-0000-00003F560000}"/>
    <cellStyle name="Normal 11 3 7" xfId="18547" xr:uid="{00000000-0005-0000-0000-000040560000}"/>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3" xfId="24946" xr:uid="{00000000-0005-0000-0000-000047560000}"/>
    <cellStyle name="Normal 11 4 2 2 3" xfId="13462" xr:uid="{00000000-0005-0000-0000-000048560000}"/>
    <cellStyle name="Normal 11 4 2 2 4" xfId="21417" xr:uid="{00000000-0005-0000-0000-000049560000}"/>
    <cellStyle name="Normal 11 4 2 3" xfId="7270" xr:uid="{00000000-0005-0000-0000-00004A560000}"/>
    <cellStyle name="Normal 11 4 2 3 2" xfId="15242" xr:uid="{00000000-0005-0000-0000-00004B560000}"/>
    <cellStyle name="Normal 11 4 2 3 3" xfId="23189" xr:uid="{00000000-0005-0000-0000-00004C560000}"/>
    <cellStyle name="Normal 11 4 2 4" xfId="11706" xr:uid="{00000000-0005-0000-0000-00004D560000}"/>
    <cellStyle name="Normal 11 4 2 5" xfId="19661" xr:uid="{00000000-0005-0000-0000-00004E560000}"/>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3" xfId="24068" xr:uid="{00000000-0005-0000-0000-000053560000}"/>
    <cellStyle name="Normal 11 4 3 3" xfId="12584" xr:uid="{00000000-0005-0000-0000-000054560000}"/>
    <cellStyle name="Normal 11 4 3 4" xfId="20539" xr:uid="{00000000-0005-0000-0000-000055560000}"/>
    <cellStyle name="Normal 11 4 4" xfId="6389" xr:uid="{00000000-0005-0000-0000-000056560000}"/>
    <cellStyle name="Normal 11 4 4 2" xfId="14364" xr:uid="{00000000-0005-0000-0000-000057560000}"/>
    <cellStyle name="Normal 11 4 4 3" xfId="22311" xr:uid="{00000000-0005-0000-0000-000058560000}"/>
    <cellStyle name="Normal 11 4 5" xfId="9932" xr:uid="{00000000-0005-0000-0000-000059560000}"/>
    <cellStyle name="Normal 11 4 5 2" xfId="17890" xr:uid="{00000000-0005-0000-0000-00005A560000}"/>
    <cellStyle name="Normal 11 4 5 3" xfId="25834" xr:uid="{00000000-0005-0000-0000-00005B560000}"/>
    <cellStyle name="Normal 11 4 6" xfId="10828" xr:uid="{00000000-0005-0000-0000-00005C560000}"/>
    <cellStyle name="Normal 11 4 7" xfId="18783" xr:uid="{00000000-0005-0000-0000-00005D560000}"/>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3" xfId="24707" xr:uid="{00000000-0005-0000-0000-000063560000}"/>
    <cellStyle name="Normal 11 5 2 3" xfId="13223" xr:uid="{00000000-0005-0000-0000-000064560000}"/>
    <cellStyle name="Normal 11 5 2 4" xfId="21178" xr:uid="{00000000-0005-0000-0000-000065560000}"/>
    <cellStyle name="Normal 11 5 3" xfId="7031" xr:uid="{00000000-0005-0000-0000-000066560000}"/>
    <cellStyle name="Normal 11 5 3 2" xfId="15003" xr:uid="{00000000-0005-0000-0000-000067560000}"/>
    <cellStyle name="Normal 11 5 3 3" xfId="22950" xr:uid="{00000000-0005-0000-0000-000068560000}"/>
    <cellStyle name="Normal 11 5 4" xfId="11467" xr:uid="{00000000-0005-0000-0000-000069560000}"/>
    <cellStyle name="Normal 11 5 5" xfId="19422" xr:uid="{00000000-0005-0000-0000-00006A56000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3" xfId="23829" xr:uid="{00000000-0005-0000-0000-00006F560000}"/>
    <cellStyle name="Normal 11 6 3" xfId="12345" xr:uid="{00000000-0005-0000-0000-000070560000}"/>
    <cellStyle name="Normal 11 6 4" xfId="20300" xr:uid="{00000000-0005-0000-0000-000071560000}"/>
    <cellStyle name="Normal 11 7" xfId="6140" xr:uid="{00000000-0005-0000-0000-000072560000}"/>
    <cellStyle name="Normal 11 7 2" xfId="14124" xr:uid="{00000000-0005-0000-0000-000073560000}"/>
    <cellStyle name="Normal 11 7 3" xfId="22072" xr:uid="{00000000-0005-0000-0000-000074560000}"/>
    <cellStyle name="Normal 11 8" xfId="9693" xr:uid="{00000000-0005-0000-0000-000075560000}"/>
    <cellStyle name="Normal 11 8 2" xfId="17651" xr:uid="{00000000-0005-0000-0000-000076560000}"/>
    <cellStyle name="Normal 11 8 3" xfId="25595" xr:uid="{00000000-0005-0000-0000-000077560000}"/>
    <cellStyle name="Normal 11 9" xfId="10589" xr:uid="{00000000-0005-0000-0000-000078560000}"/>
    <cellStyle name="Normal 11_Exh G" xfId="3437" xr:uid="{00000000-0005-0000-0000-000079560000}"/>
    <cellStyle name="Normal 12" xfId="645" xr:uid="{00000000-0005-0000-0000-00007A560000}"/>
    <cellStyle name="Normal 12 10" xfId="18548" xr:uid="{00000000-0005-0000-0000-00007B560000}"/>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3" xfId="24713" xr:uid="{00000000-0005-0000-0000-000082560000}"/>
    <cellStyle name="Normal 12 2 2 2 2 3" xfId="13229" xr:uid="{00000000-0005-0000-0000-000083560000}"/>
    <cellStyle name="Normal 12 2 2 2 2 4" xfId="21184" xr:uid="{00000000-0005-0000-0000-000084560000}"/>
    <cellStyle name="Normal 12 2 2 2 3" xfId="7037" xr:uid="{00000000-0005-0000-0000-000085560000}"/>
    <cellStyle name="Normal 12 2 2 2 3 2" xfId="15009" xr:uid="{00000000-0005-0000-0000-000086560000}"/>
    <cellStyle name="Normal 12 2 2 2 3 3" xfId="22956" xr:uid="{00000000-0005-0000-0000-000087560000}"/>
    <cellStyle name="Normal 12 2 2 2 4" xfId="11473" xr:uid="{00000000-0005-0000-0000-000088560000}"/>
    <cellStyle name="Normal 12 2 2 2 5" xfId="19428" xr:uid="{00000000-0005-0000-0000-000089560000}"/>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3" xfId="23835" xr:uid="{00000000-0005-0000-0000-00008E560000}"/>
    <cellStyle name="Normal 12 2 2 3 3" xfId="12351" xr:uid="{00000000-0005-0000-0000-00008F560000}"/>
    <cellStyle name="Normal 12 2 2 3 4" xfId="20306" xr:uid="{00000000-0005-0000-0000-000090560000}"/>
    <cellStyle name="Normal 12 2 2 4" xfId="6146" xr:uid="{00000000-0005-0000-0000-000091560000}"/>
    <cellStyle name="Normal 12 2 2 4 2" xfId="14130" xr:uid="{00000000-0005-0000-0000-000092560000}"/>
    <cellStyle name="Normal 12 2 2 4 3" xfId="22078" xr:uid="{00000000-0005-0000-0000-000093560000}"/>
    <cellStyle name="Normal 12 2 2 5" xfId="9699" xr:uid="{00000000-0005-0000-0000-000094560000}"/>
    <cellStyle name="Normal 12 2 2 5 2" xfId="17657" xr:uid="{00000000-0005-0000-0000-000095560000}"/>
    <cellStyle name="Normal 12 2 2 5 3" xfId="25601" xr:uid="{00000000-0005-0000-0000-000096560000}"/>
    <cellStyle name="Normal 12 2 2 6" xfId="10595" xr:uid="{00000000-0005-0000-0000-000097560000}"/>
    <cellStyle name="Normal 12 2 2 7" xfId="18550" xr:uid="{00000000-0005-0000-0000-000098560000}"/>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3" xfId="24712" xr:uid="{00000000-0005-0000-0000-00009E560000}"/>
    <cellStyle name="Normal 12 2 3 2 3" xfId="13228" xr:uid="{00000000-0005-0000-0000-00009F560000}"/>
    <cellStyle name="Normal 12 2 3 2 4" xfId="21183" xr:uid="{00000000-0005-0000-0000-0000A0560000}"/>
    <cellStyle name="Normal 12 2 3 3" xfId="7036" xr:uid="{00000000-0005-0000-0000-0000A1560000}"/>
    <cellStyle name="Normal 12 2 3 3 2" xfId="15008" xr:uid="{00000000-0005-0000-0000-0000A2560000}"/>
    <cellStyle name="Normal 12 2 3 3 3" xfId="22955" xr:uid="{00000000-0005-0000-0000-0000A3560000}"/>
    <cellStyle name="Normal 12 2 3 4" xfId="11472" xr:uid="{00000000-0005-0000-0000-0000A4560000}"/>
    <cellStyle name="Normal 12 2 3 5" xfId="19427" xr:uid="{00000000-0005-0000-0000-0000A5560000}"/>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3" xfId="23834" xr:uid="{00000000-0005-0000-0000-0000AA560000}"/>
    <cellStyle name="Normal 12 2 4 3" xfId="12350" xr:uid="{00000000-0005-0000-0000-0000AB560000}"/>
    <cellStyle name="Normal 12 2 4 4" xfId="20305" xr:uid="{00000000-0005-0000-0000-0000AC560000}"/>
    <cellStyle name="Normal 12 2 5" xfId="6145" xr:uid="{00000000-0005-0000-0000-0000AD560000}"/>
    <cellStyle name="Normal 12 2 5 2" xfId="14129" xr:uid="{00000000-0005-0000-0000-0000AE560000}"/>
    <cellStyle name="Normal 12 2 5 3" xfId="22077" xr:uid="{00000000-0005-0000-0000-0000AF560000}"/>
    <cellStyle name="Normal 12 2 6" xfId="9698" xr:uid="{00000000-0005-0000-0000-0000B0560000}"/>
    <cellStyle name="Normal 12 2 6 2" xfId="17656" xr:uid="{00000000-0005-0000-0000-0000B1560000}"/>
    <cellStyle name="Normal 12 2 6 3" xfId="25600" xr:uid="{00000000-0005-0000-0000-0000B2560000}"/>
    <cellStyle name="Normal 12 2 7" xfId="10594" xr:uid="{00000000-0005-0000-0000-0000B3560000}"/>
    <cellStyle name="Normal 12 2 8" xfId="18549" xr:uid="{00000000-0005-0000-0000-0000B4560000}"/>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3" xfId="24714" xr:uid="{00000000-0005-0000-0000-0000BB560000}"/>
    <cellStyle name="Normal 12 3 2 2 3" xfId="13230" xr:uid="{00000000-0005-0000-0000-0000BC560000}"/>
    <cellStyle name="Normal 12 3 2 2 4" xfId="21185" xr:uid="{00000000-0005-0000-0000-0000BD560000}"/>
    <cellStyle name="Normal 12 3 2 3" xfId="7038" xr:uid="{00000000-0005-0000-0000-0000BE560000}"/>
    <cellStyle name="Normal 12 3 2 3 2" xfId="15010" xr:uid="{00000000-0005-0000-0000-0000BF560000}"/>
    <cellStyle name="Normal 12 3 2 3 3" xfId="22957" xr:uid="{00000000-0005-0000-0000-0000C0560000}"/>
    <cellStyle name="Normal 12 3 2 4" xfId="11474" xr:uid="{00000000-0005-0000-0000-0000C1560000}"/>
    <cellStyle name="Normal 12 3 2 5" xfId="19429" xr:uid="{00000000-0005-0000-0000-0000C256000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3" xfId="23836" xr:uid="{00000000-0005-0000-0000-0000C7560000}"/>
    <cellStyle name="Normal 12 3 3 3" xfId="12352" xr:uid="{00000000-0005-0000-0000-0000C8560000}"/>
    <cellStyle name="Normal 12 3 3 4" xfId="20307" xr:uid="{00000000-0005-0000-0000-0000C9560000}"/>
    <cellStyle name="Normal 12 3 4" xfId="6147" xr:uid="{00000000-0005-0000-0000-0000CA560000}"/>
    <cellStyle name="Normal 12 3 4 2" xfId="14131" xr:uid="{00000000-0005-0000-0000-0000CB560000}"/>
    <cellStyle name="Normal 12 3 4 3" xfId="22079" xr:uid="{00000000-0005-0000-0000-0000CC560000}"/>
    <cellStyle name="Normal 12 3 5" xfId="9700" xr:uid="{00000000-0005-0000-0000-0000CD560000}"/>
    <cellStyle name="Normal 12 3 5 2" xfId="17658" xr:uid="{00000000-0005-0000-0000-0000CE560000}"/>
    <cellStyle name="Normal 12 3 5 3" xfId="25602" xr:uid="{00000000-0005-0000-0000-0000CF560000}"/>
    <cellStyle name="Normal 12 3 6" xfId="10596" xr:uid="{00000000-0005-0000-0000-0000D0560000}"/>
    <cellStyle name="Normal 12 3 7" xfId="18551" xr:uid="{00000000-0005-0000-0000-0000D1560000}"/>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3" xfId="24947" xr:uid="{00000000-0005-0000-0000-0000D8560000}"/>
    <cellStyle name="Normal 12 4 2 2 3" xfId="13463" xr:uid="{00000000-0005-0000-0000-0000D9560000}"/>
    <cellStyle name="Normal 12 4 2 2 4" xfId="21418" xr:uid="{00000000-0005-0000-0000-0000DA560000}"/>
    <cellStyle name="Normal 12 4 2 3" xfId="7271" xr:uid="{00000000-0005-0000-0000-0000DB560000}"/>
    <cellStyle name="Normal 12 4 2 3 2" xfId="15243" xr:uid="{00000000-0005-0000-0000-0000DC560000}"/>
    <cellStyle name="Normal 12 4 2 3 3" xfId="23190" xr:uid="{00000000-0005-0000-0000-0000DD560000}"/>
    <cellStyle name="Normal 12 4 2 4" xfId="11707" xr:uid="{00000000-0005-0000-0000-0000DE560000}"/>
    <cellStyle name="Normal 12 4 2 5" xfId="19662" xr:uid="{00000000-0005-0000-0000-0000DF560000}"/>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3" xfId="24069" xr:uid="{00000000-0005-0000-0000-0000E4560000}"/>
    <cellStyle name="Normal 12 4 3 3" xfId="12585" xr:uid="{00000000-0005-0000-0000-0000E5560000}"/>
    <cellStyle name="Normal 12 4 3 4" xfId="20540" xr:uid="{00000000-0005-0000-0000-0000E6560000}"/>
    <cellStyle name="Normal 12 4 4" xfId="6390" xr:uid="{00000000-0005-0000-0000-0000E7560000}"/>
    <cellStyle name="Normal 12 4 4 2" xfId="14365" xr:uid="{00000000-0005-0000-0000-0000E8560000}"/>
    <cellStyle name="Normal 12 4 4 3" xfId="22312" xr:uid="{00000000-0005-0000-0000-0000E9560000}"/>
    <cellStyle name="Normal 12 4 5" xfId="9933" xr:uid="{00000000-0005-0000-0000-0000EA560000}"/>
    <cellStyle name="Normal 12 4 5 2" xfId="17891" xr:uid="{00000000-0005-0000-0000-0000EB560000}"/>
    <cellStyle name="Normal 12 4 5 3" xfId="25835" xr:uid="{00000000-0005-0000-0000-0000EC560000}"/>
    <cellStyle name="Normal 12 4 6" xfId="10829" xr:uid="{00000000-0005-0000-0000-0000ED560000}"/>
    <cellStyle name="Normal 12 4 7" xfId="18784" xr:uid="{00000000-0005-0000-0000-0000EE560000}"/>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3" xfId="24711" xr:uid="{00000000-0005-0000-0000-0000F4560000}"/>
    <cellStyle name="Normal 12 5 2 3" xfId="13227" xr:uid="{00000000-0005-0000-0000-0000F5560000}"/>
    <cellStyle name="Normal 12 5 2 4" xfId="21182" xr:uid="{00000000-0005-0000-0000-0000F6560000}"/>
    <cellStyle name="Normal 12 5 3" xfId="7035" xr:uid="{00000000-0005-0000-0000-0000F7560000}"/>
    <cellStyle name="Normal 12 5 3 2" xfId="15007" xr:uid="{00000000-0005-0000-0000-0000F8560000}"/>
    <cellStyle name="Normal 12 5 3 3" xfId="22954" xr:uid="{00000000-0005-0000-0000-0000F9560000}"/>
    <cellStyle name="Normal 12 5 4" xfId="11471" xr:uid="{00000000-0005-0000-0000-0000FA560000}"/>
    <cellStyle name="Normal 12 5 5" xfId="19426" xr:uid="{00000000-0005-0000-0000-0000FB560000}"/>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3" xfId="23833" xr:uid="{00000000-0005-0000-0000-000000570000}"/>
    <cellStyle name="Normal 12 6 3" xfId="12349" xr:uid="{00000000-0005-0000-0000-000001570000}"/>
    <cellStyle name="Normal 12 6 4" xfId="20304" xr:uid="{00000000-0005-0000-0000-000002570000}"/>
    <cellStyle name="Normal 12 7" xfId="6144" xr:uid="{00000000-0005-0000-0000-000003570000}"/>
    <cellStyle name="Normal 12 7 2" xfId="14128" xr:uid="{00000000-0005-0000-0000-000004570000}"/>
    <cellStyle name="Normal 12 7 3" xfId="22076" xr:uid="{00000000-0005-0000-0000-000005570000}"/>
    <cellStyle name="Normal 12 8" xfId="9697" xr:uid="{00000000-0005-0000-0000-000006570000}"/>
    <cellStyle name="Normal 12 8 2" xfId="17655" xr:uid="{00000000-0005-0000-0000-000007570000}"/>
    <cellStyle name="Normal 12 8 3" xfId="25599" xr:uid="{00000000-0005-0000-0000-000008570000}"/>
    <cellStyle name="Normal 12 9" xfId="10593" xr:uid="{00000000-0005-0000-0000-000009570000}"/>
    <cellStyle name="Normal 12_Exh G" xfId="3447" xr:uid="{00000000-0005-0000-0000-00000A570000}"/>
    <cellStyle name="Normal 13" xfId="649" xr:uid="{00000000-0005-0000-0000-00000B570000}"/>
    <cellStyle name="Normal 13 10" xfId="18552" xr:uid="{00000000-0005-0000-0000-00000C570000}"/>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3" xfId="24717" xr:uid="{00000000-0005-0000-0000-000013570000}"/>
    <cellStyle name="Normal 13 2 2 2 2 3" xfId="13233" xr:uid="{00000000-0005-0000-0000-000014570000}"/>
    <cellStyle name="Normal 13 2 2 2 2 4" xfId="21188" xr:uid="{00000000-0005-0000-0000-000015570000}"/>
    <cellStyle name="Normal 13 2 2 2 3" xfId="7041" xr:uid="{00000000-0005-0000-0000-000016570000}"/>
    <cellStyle name="Normal 13 2 2 2 3 2" xfId="15013" xr:uid="{00000000-0005-0000-0000-000017570000}"/>
    <cellStyle name="Normal 13 2 2 2 3 3" xfId="22960" xr:uid="{00000000-0005-0000-0000-000018570000}"/>
    <cellStyle name="Normal 13 2 2 2 4" xfId="11477" xr:uid="{00000000-0005-0000-0000-000019570000}"/>
    <cellStyle name="Normal 13 2 2 2 5" xfId="19432" xr:uid="{00000000-0005-0000-0000-00001A570000}"/>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3" xfId="23839" xr:uid="{00000000-0005-0000-0000-00001F570000}"/>
    <cellStyle name="Normal 13 2 2 3 3" xfId="12355" xr:uid="{00000000-0005-0000-0000-000020570000}"/>
    <cellStyle name="Normal 13 2 2 3 4" xfId="20310" xr:uid="{00000000-0005-0000-0000-000021570000}"/>
    <cellStyle name="Normal 13 2 2 4" xfId="6150" xr:uid="{00000000-0005-0000-0000-000022570000}"/>
    <cellStyle name="Normal 13 2 2 4 2" xfId="14134" xr:uid="{00000000-0005-0000-0000-000023570000}"/>
    <cellStyle name="Normal 13 2 2 4 3" xfId="22082" xr:uid="{00000000-0005-0000-0000-000024570000}"/>
    <cellStyle name="Normal 13 2 2 5" xfId="9703" xr:uid="{00000000-0005-0000-0000-000025570000}"/>
    <cellStyle name="Normal 13 2 2 5 2" xfId="17661" xr:uid="{00000000-0005-0000-0000-000026570000}"/>
    <cellStyle name="Normal 13 2 2 5 3" xfId="25605" xr:uid="{00000000-0005-0000-0000-000027570000}"/>
    <cellStyle name="Normal 13 2 2 6" xfId="10599" xr:uid="{00000000-0005-0000-0000-000028570000}"/>
    <cellStyle name="Normal 13 2 2 7" xfId="18554" xr:uid="{00000000-0005-0000-0000-000029570000}"/>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3" xfId="24716" xr:uid="{00000000-0005-0000-0000-00002F570000}"/>
    <cellStyle name="Normal 13 2 3 2 3" xfId="13232" xr:uid="{00000000-0005-0000-0000-000030570000}"/>
    <cellStyle name="Normal 13 2 3 2 4" xfId="21187" xr:uid="{00000000-0005-0000-0000-000031570000}"/>
    <cellStyle name="Normal 13 2 3 3" xfId="7040" xr:uid="{00000000-0005-0000-0000-000032570000}"/>
    <cellStyle name="Normal 13 2 3 3 2" xfId="15012" xr:uid="{00000000-0005-0000-0000-000033570000}"/>
    <cellStyle name="Normal 13 2 3 3 3" xfId="22959" xr:uid="{00000000-0005-0000-0000-000034570000}"/>
    <cellStyle name="Normal 13 2 3 4" xfId="11476" xr:uid="{00000000-0005-0000-0000-000035570000}"/>
    <cellStyle name="Normal 13 2 3 5" xfId="19431" xr:uid="{00000000-0005-0000-0000-000036570000}"/>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3" xfId="23838" xr:uid="{00000000-0005-0000-0000-00003B570000}"/>
    <cellStyle name="Normal 13 2 4 3" xfId="12354" xr:uid="{00000000-0005-0000-0000-00003C570000}"/>
    <cellStyle name="Normal 13 2 4 4" xfId="20309" xr:uid="{00000000-0005-0000-0000-00003D570000}"/>
    <cellStyle name="Normal 13 2 5" xfId="6149" xr:uid="{00000000-0005-0000-0000-00003E570000}"/>
    <cellStyle name="Normal 13 2 5 2" xfId="14133" xr:uid="{00000000-0005-0000-0000-00003F570000}"/>
    <cellStyle name="Normal 13 2 5 3" xfId="22081" xr:uid="{00000000-0005-0000-0000-000040570000}"/>
    <cellStyle name="Normal 13 2 6" xfId="9702" xr:uid="{00000000-0005-0000-0000-000041570000}"/>
    <cellStyle name="Normal 13 2 6 2" xfId="17660" xr:uid="{00000000-0005-0000-0000-000042570000}"/>
    <cellStyle name="Normal 13 2 6 3" xfId="25604" xr:uid="{00000000-0005-0000-0000-000043570000}"/>
    <cellStyle name="Normal 13 2 7" xfId="10598" xr:uid="{00000000-0005-0000-0000-000044570000}"/>
    <cellStyle name="Normal 13 2 8" xfId="18553" xr:uid="{00000000-0005-0000-0000-000045570000}"/>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3" xfId="24718" xr:uid="{00000000-0005-0000-0000-00004C570000}"/>
    <cellStyle name="Normal 13 3 2 2 3" xfId="13234" xr:uid="{00000000-0005-0000-0000-00004D570000}"/>
    <cellStyle name="Normal 13 3 2 2 4" xfId="21189" xr:uid="{00000000-0005-0000-0000-00004E570000}"/>
    <cellStyle name="Normal 13 3 2 3" xfId="7042" xr:uid="{00000000-0005-0000-0000-00004F570000}"/>
    <cellStyle name="Normal 13 3 2 3 2" xfId="15014" xr:uid="{00000000-0005-0000-0000-000050570000}"/>
    <cellStyle name="Normal 13 3 2 3 3" xfId="22961" xr:uid="{00000000-0005-0000-0000-000051570000}"/>
    <cellStyle name="Normal 13 3 2 4" xfId="11478" xr:uid="{00000000-0005-0000-0000-000052570000}"/>
    <cellStyle name="Normal 13 3 2 5" xfId="19433" xr:uid="{00000000-0005-0000-0000-000053570000}"/>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3" xfId="23840" xr:uid="{00000000-0005-0000-0000-000058570000}"/>
    <cellStyle name="Normal 13 3 3 3" xfId="12356" xr:uid="{00000000-0005-0000-0000-000059570000}"/>
    <cellStyle name="Normal 13 3 3 4" xfId="20311" xr:uid="{00000000-0005-0000-0000-00005A570000}"/>
    <cellStyle name="Normal 13 3 4" xfId="6151" xr:uid="{00000000-0005-0000-0000-00005B570000}"/>
    <cellStyle name="Normal 13 3 4 2" xfId="14135" xr:uid="{00000000-0005-0000-0000-00005C570000}"/>
    <cellStyle name="Normal 13 3 4 3" xfId="22083" xr:uid="{00000000-0005-0000-0000-00005D570000}"/>
    <cellStyle name="Normal 13 3 5" xfId="9704" xr:uid="{00000000-0005-0000-0000-00005E570000}"/>
    <cellStyle name="Normal 13 3 5 2" xfId="17662" xr:uid="{00000000-0005-0000-0000-00005F570000}"/>
    <cellStyle name="Normal 13 3 5 3" xfId="25606" xr:uid="{00000000-0005-0000-0000-000060570000}"/>
    <cellStyle name="Normal 13 3 6" xfId="10600" xr:uid="{00000000-0005-0000-0000-000061570000}"/>
    <cellStyle name="Normal 13 3 7" xfId="18555" xr:uid="{00000000-0005-0000-0000-000062570000}"/>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3" xfId="24948" xr:uid="{00000000-0005-0000-0000-000069570000}"/>
    <cellStyle name="Normal 13 4 2 2 3" xfId="13464" xr:uid="{00000000-0005-0000-0000-00006A570000}"/>
    <cellStyle name="Normal 13 4 2 2 4" xfId="21419" xr:uid="{00000000-0005-0000-0000-00006B570000}"/>
    <cellStyle name="Normal 13 4 2 3" xfId="7272" xr:uid="{00000000-0005-0000-0000-00006C570000}"/>
    <cellStyle name="Normal 13 4 2 3 2" xfId="15244" xr:uid="{00000000-0005-0000-0000-00006D570000}"/>
    <cellStyle name="Normal 13 4 2 3 3" xfId="23191" xr:uid="{00000000-0005-0000-0000-00006E570000}"/>
    <cellStyle name="Normal 13 4 2 4" xfId="11708" xr:uid="{00000000-0005-0000-0000-00006F570000}"/>
    <cellStyle name="Normal 13 4 2 5" xfId="19663" xr:uid="{00000000-0005-0000-0000-000070570000}"/>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3" xfId="24070" xr:uid="{00000000-0005-0000-0000-000075570000}"/>
    <cellStyle name="Normal 13 4 3 3" xfId="12586" xr:uid="{00000000-0005-0000-0000-000076570000}"/>
    <cellStyle name="Normal 13 4 3 4" xfId="20541" xr:uid="{00000000-0005-0000-0000-000077570000}"/>
    <cellStyle name="Normal 13 4 4" xfId="6391" xr:uid="{00000000-0005-0000-0000-000078570000}"/>
    <cellStyle name="Normal 13 4 4 2" xfId="14366" xr:uid="{00000000-0005-0000-0000-000079570000}"/>
    <cellStyle name="Normal 13 4 4 3" xfId="22313" xr:uid="{00000000-0005-0000-0000-00007A570000}"/>
    <cellStyle name="Normal 13 4 5" xfId="9934" xr:uid="{00000000-0005-0000-0000-00007B570000}"/>
    <cellStyle name="Normal 13 4 5 2" xfId="17892" xr:uid="{00000000-0005-0000-0000-00007C570000}"/>
    <cellStyle name="Normal 13 4 5 3" xfId="25836" xr:uid="{00000000-0005-0000-0000-00007D570000}"/>
    <cellStyle name="Normal 13 4 6" xfId="10830" xr:uid="{00000000-0005-0000-0000-00007E570000}"/>
    <cellStyle name="Normal 13 4 7" xfId="18785" xr:uid="{00000000-0005-0000-0000-00007F570000}"/>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3" xfId="24715" xr:uid="{00000000-0005-0000-0000-000085570000}"/>
    <cellStyle name="Normal 13 5 2 3" xfId="13231" xr:uid="{00000000-0005-0000-0000-000086570000}"/>
    <cellStyle name="Normal 13 5 2 4" xfId="21186" xr:uid="{00000000-0005-0000-0000-000087570000}"/>
    <cellStyle name="Normal 13 5 3" xfId="7039" xr:uid="{00000000-0005-0000-0000-000088570000}"/>
    <cellStyle name="Normal 13 5 3 2" xfId="15011" xr:uid="{00000000-0005-0000-0000-000089570000}"/>
    <cellStyle name="Normal 13 5 3 3" xfId="22958" xr:uid="{00000000-0005-0000-0000-00008A570000}"/>
    <cellStyle name="Normal 13 5 4" xfId="11475" xr:uid="{00000000-0005-0000-0000-00008B570000}"/>
    <cellStyle name="Normal 13 5 5" xfId="19430" xr:uid="{00000000-0005-0000-0000-00008C570000}"/>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3" xfId="23837" xr:uid="{00000000-0005-0000-0000-000091570000}"/>
    <cellStyle name="Normal 13 6 3" xfId="12353" xr:uid="{00000000-0005-0000-0000-000092570000}"/>
    <cellStyle name="Normal 13 6 4" xfId="20308" xr:uid="{00000000-0005-0000-0000-000093570000}"/>
    <cellStyle name="Normal 13 7" xfId="6148" xr:uid="{00000000-0005-0000-0000-000094570000}"/>
    <cellStyle name="Normal 13 7 2" xfId="14132" xr:uid="{00000000-0005-0000-0000-000095570000}"/>
    <cellStyle name="Normal 13 7 3" xfId="22080" xr:uid="{00000000-0005-0000-0000-000096570000}"/>
    <cellStyle name="Normal 13 8" xfId="9701" xr:uid="{00000000-0005-0000-0000-000097570000}"/>
    <cellStyle name="Normal 13 8 2" xfId="17659" xr:uid="{00000000-0005-0000-0000-000098570000}"/>
    <cellStyle name="Normal 13 8 3" xfId="25603" xr:uid="{00000000-0005-0000-0000-000099570000}"/>
    <cellStyle name="Normal 13 9" xfId="10597" xr:uid="{00000000-0005-0000-0000-00009A570000}"/>
    <cellStyle name="Normal 13_Exh G" xfId="3457" xr:uid="{00000000-0005-0000-0000-00009B570000}"/>
    <cellStyle name="Normal 14" xfId="653" xr:uid="{00000000-0005-0000-0000-00009C570000}"/>
    <cellStyle name="Normal 14 10" xfId="10601" xr:uid="{00000000-0005-0000-0000-00009D570000}"/>
    <cellStyle name="Normal 14 11" xfId="18556" xr:uid="{00000000-0005-0000-0000-00009E570000}"/>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3" xfId="24721" xr:uid="{00000000-0005-0000-0000-0000A5570000}"/>
    <cellStyle name="Normal 14 2 2 2 2 3" xfId="13237" xr:uid="{00000000-0005-0000-0000-0000A6570000}"/>
    <cellStyle name="Normal 14 2 2 2 2 4" xfId="21192" xr:uid="{00000000-0005-0000-0000-0000A7570000}"/>
    <cellStyle name="Normal 14 2 2 2 3" xfId="7045" xr:uid="{00000000-0005-0000-0000-0000A8570000}"/>
    <cellStyle name="Normal 14 2 2 2 3 2" xfId="15017" xr:uid="{00000000-0005-0000-0000-0000A9570000}"/>
    <cellStyle name="Normal 14 2 2 2 3 3" xfId="22964" xr:uid="{00000000-0005-0000-0000-0000AA570000}"/>
    <cellStyle name="Normal 14 2 2 2 4" xfId="11481" xr:uid="{00000000-0005-0000-0000-0000AB570000}"/>
    <cellStyle name="Normal 14 2 2 2 5" xfId="19436" xr:uid="{00000000-0005-0000-0000-0000AC570000}"/>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3" xfId="23843" xr:uid="{00000000-0005-0000-0000-0000B1570000}"/>
    <cellStyle name="Normal 14 2 2 3 3" xfId="12359" xr:uid="{00000000-0005-0000-0000-0000B2570000}"/>
    <cellStyle name="Normal 14 2 2 3 4" xfId="20314" xr:uid="{00000000-0005-0000-0000-0000B3570000}"/>
    <cellStyle name="Normal 14 2 2 4" xfId="6154" xr:uid="{00000000-0005-0000-0000-0000B4570000}"/>
    <cellStyle name="Normal 14 2 2 4 2" xfId="14138" xr:uid="{00000000-0005-0000-0000-0000B5570000}"/>
    <cellStyle name="Normal 14 2 2 4 3" xfId="22086" xr:uid="{00000000-0005-0000-0000-0000B6570000}"/>
    <cellStyle name="Normal 14 2 2 5" xfId="9707" xr:uid="{00000000-0005-0000-0000-0000B7570000}"/>
    <cellStyle name="Normal 14 2 2 5 2" xfId="17665" xr:uid="{00000000-0005-0000-0000-0000B8570000}"/>
    <cellStyle name="Normal 14 2 2 5 3" xfId="25609" xr:uid="{00000000-0005-0000-0000-0000B9570000}"/>
    <cellStyle name="Normal 14 2 2 6" xfId="10603" xr:uid="{00000000-0005-0000-0000-0000BA570000}"/>
    <cellStyle name="Normal 14 2 2 7" xfId="18558" xr:uid="{00000000-0005-0000-0000-0000BB570000}"/>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3" xfId="24720" xr:uid="{00000000-0005-0000-0000-0000C1570000}"/>
    <cellStyle name="Normal 14 2 3 2 3" xfId="13236" xr:uid="{00000000-0005-0000-0000-0000C2570000}"/>
    <cellStyle name="Normal 14 2 3 2 4" xfId="21191" xr:uid="{00000000-0005-0000-0000-0000C3570000}"/>
    <cellStyle name="Normal 14 2 3 3" xfId="7044" xr:uid="{00000000-0005-0000-0000-0000C4570000}"/>
    <cellStyle name="Normal 14 2 3 3 2" xfId="15016" xr:uid="{00000000-0005-0000-0000-0000C5570000}"/>
    <cellStyle name="Normal 14 2 3 3 3" xfId="22963" xr:uid="{00000000-0005-0000-0000-0000C6570000}"/>
    <cellStyle name="Normal 14 2 3 4" xfId="11480" xr:uid="{00000000-0005-0000-0000-0000C7570000}"/>
    <cellStyle name="Normal 14 2 3 5" xfId="19435" xr:uid="{00000000-0005-0000-0000-0000C8570000}"/>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3" xfId="23842" xr:uid="{00000000-0005-0000-0000-0000CD570000}"/>
    <cellStyle name="Normal 14 2 4 3" xfId="12358" xr:uid="{00000000-0005-0000-0000-0000CE570000}"/>
    <cellStyle name="Normal 14 2 4 4" xfId="20313" xr:uid="{00000000-0005-0000-0000-0000CF570000}"/>
    <cellStyle name="Normal 14 2 5" xfId="6153" xr:uid="{00000000-0005-0000-0000-0000D0570000}"/>
    <cellStyle name="Normal 14 2 5 2" xfId="14137" xr:uid="{00000000-0005-0000-0000-0000D1570000}"/>
    <cellStyle name="Normal 14 2 5 3" xfId="22085" xr:uid="{00000000-0005-0000-0000-0000D2570000}"/>
    <cellStyle name="Normal 14 2 6" xfId="9706" xr:uid="{00000000-0005-0000-0000-0000D3570000}"/>
    <cellStyle name="Normal 14 2 6 2" xfId="17664" xr:uid="{00000000-0005-0000-0000-0000D4570000}"/>
    <cellStyle name="Normal 14 2 6 3" xfId="25608" xr:uid="{00000000-0005-0000-0000-0000D5570000}"/>
    <cellStyle name="Normal 14 2 7" xfId="10602" xr:uid="{00000000-0005-0000-0000-0000D6570000}"/>
    <cellStyle name="Normal 14 2 8" xfId="18557" xr:uid="{00000000-0005-0000-0000-0000D7570000}"/>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3" xfId="24722" xr:uid="{00000000-0005-0000-0000-0000DE570000}"/>
    <cellStyle name="Normal 14 3 2 2 3" xfId="13238" xr:uid="{00000000-0005-0000-0000-0000DF570000}"/>
    <cellStyle name="Normal 14 3 2 2 4" xfId="21193" xr:uid="{00000000-0005-0000-0000-0000E0570000}"/>
    <cellStyle name="Normal 14 3 2 3" xfId="7046" xr:uid="{00000000-0005-0000-0000-0000E1570000}"/>
    <cellStyle name="Normal 14 3 2 3 2" xfId="15018" xr:uid="{00000000-0005-0000-0000-0000E2570000}"/>
    <cellStyle name="Normal 14 3 2 3 3" xfId="22965" xr:uid="{00000000-0005-0000-0000-0000E3570000}"/>
    <cellStyle name="Normal 14 3 2 4" xfId="11482" xr:uid="{00000000-0005-0000-0000-0000E4570000}"/>
    <cellStyle name="Normal 14 3 2 5" xfId="19437" xr:uid="{00000000-0005-0000-0000-0000E5570000}"/>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3" xfId="23844" xr:uid="{00000000-0005-0000-0000-0000EA570000}"/>
    <cellStyle name="Normal 14 3 3 3" xfId="12360" xr:uid="{00000000-0005-0000-0000-0000EB570000}"/>
    <cellStyle name="Normal 14 3 3 4" xfId="20315" xr:uid="{00000000-0005-0000-0000-0000EC570000}"/>
    <cellStyle name="Normal 14 3 4" xfId="6155" xr:uid="{00000000-0005-0000-0000-0000ED570000}"/>
    <cellStyle name="Normal 14 3 4 2" xfId="14139" xr:uid="{00000000-0005-0000-0000-0000EE570000}"/>
    <cellStyle name="Normal 14 3 4 3" xfId="22087" xr:uid="{00000000-0005-0000-0000-0000EF570000}"/>
    <cellStyle name="Normal 14 3 5" xfId="9708" xr:uid="{00000000-0005-0000-0000-0000F0570000}"/>
    <cellStyle name="Normal 14 3 5 2" xfId="17666" xr:uid="{00000000-0005-0000-0000-0000F1570000}"/>
    <cellStyle name="Normal 14 3 5 3" xfId="25610" xr:uid="{00000000-0005-0000-0000-0000F2570000}"/>
    <cellStyle name="Normal 14 3 6" xfId="10604" xr:uid="{00000000-0005-0000-0000-0000F3570000}"/>
    <cellStyle name="Normal 14 3 7" xfId="18559" xr:uid="{00000000-0005-0000-0000-0000F4570000}"/>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3" xfId="24719" xr:uid="{00000000-0005-0000-0000-0000FE570000}"/>
    <cellStyle name="Normal 14 6 2 3" xfId="13235" xr:uid="{00000000-0005-0000-0000-0000FF570000}"/>
    <cellStyle name="Normal 14 6 2 4" xfId="21190" xr:uid="{00000000-0005-0000-0000-000000580000}"/>
    <cellStyle name="Normal 14 6 3" xfId="7043" xr:uid="{00000000-0005-0000-0000-000001580000}"/>
    <cellStyle name="Normal 14 6 3 2" xfId="15015" xr:uid="{00000000-0005-0000-0000-000002580000}"/>
    <cellStyle name="Normal 14 6 3 3" xfId="22962" xr:uid="{00000000-0005-0000-0000-000003580000}"/>
    <cellStyle name="Normal 14 6 4" xfId="11479" xr:uid="{00000000-0005-0000-0000-000004580000}"/>
    <cellStyle name="Normal 14 6 5" xfId="19434" xr:uid="{00000000-0005-0000-0000-000005580000}"/>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3" xfId="23841" xr:uid="{00000000-0005-0000-0000-00000A580000}"/>
    <cellStyle name="Normal 14 7 3" xfId="12357" xr:uid="{00000000-0005-0000-0000-00000B580000}"/>
    <cellStyle name="Normal 14 7 4" xfId="20312" xr:uid="{00000000-0005-0000-0000-00000C580000}"/>
    <cellStyle name="Normal 14 8" xfId="6152" xr:uid="{00000000-0005-0000-0000-00000D580000}"/>
    <cellStyle name="Normal 14 8 2" xfId="14136" xr:uid="{00000000-0005-0000-0000-00000E580000}"/>
    <cellStyle name="Normal 14 8 3" xfId="22084" xr:uid="{00000000-0005-0000-0000-00000F580000}"/>
    <cellStyle name="Normal 14 9" xfId="9705" xr:uid="{00000000-0005-0000-0000-000010580000}"/>
    <cellStyle name="Normal 14 9 2" xfId="17663" xr:uid="{00000000-0005-0000-0000-000011580000}"/>
    <cellStyle name="Normal 14 9 3" xfId="25607" xr:uid="{00000000-0005-0000-0000-000012580000}"/>
    <cellStyle name="Normal 14_Exh G" xfId="3467" xr:uid="{00000000-0005-0000-0000-000013580000}"/>
    <cellStyle name="Normal 15" xfId="657" xr:uid="{00000000-0005-0000-0000-000014580000}"/>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3" xfId="24725" xr:uid="{00000000-0005-0000-0000-00001B580000}"/>
    <cellStyle name="Normal 15 2 2 2 2 3" xfId="13241" xr:uid="{00000000-0005-0000-0000-00001C580000}"/>
    <cellStyle name="Normal 15 2 2 2 2 4" xfId="21196" xr:uid="{00000000-0005-0000-0000-00001D580000}"/>
    <cellStyle name="Normal 15 2 2 2 3" xfId="7049" xr:uid="{00000000-0005-0000-0000-00001E580000}"/>
    <cellStyle name="Normal 15 2 2 2 3 2" xfId="15021" xr:uid="{00000000-0005-0000-0000-00001F580000}"/>
    <cellStyle name="Normal 15 2 2 2 3 3" xfId="22968" xr:uid="{00000000-0005-0000-0000-000020580000}"/>
    <cellStyle name="Normal 15 2 2 2 4" xfId="11485" xr:uid="{00000000-0005-0000-0000-000021580000}"/>
    <cellStyle name="Normal 15 2 2 2 5" xfId="19440" xr:uid="{00000000-0005-0000-0000-000022580000}"/>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3" xfId="23847" xr:uid="{00000000-0005-0000-0000-000027580000}"/>
    <cellStyle name="Normal 15 2 2 3 3" xfId="12363" xr:uid="{00000000-0005-0000-0000-000028580000}"/>
    <cellStyle name="Normal 15 2 2 3 4" xfId="20318" xr:uid="{00000000-0005-0000-0000-000029580000}"/>
    <cellStyle name="Normal 15 2 2 4" xfId="6158" xr:uid="{00000000-0005-0000-0000-00002A580000}"/>
    <cellStyle name="Normal 15 2 2 4 2" xfId="14142" xr:uid="{00000000-0005-0000-0000-00002B580000}"/>
    <cellStyle name="Normal 15 2 2 4 3" xfId="22090" xr:uid="{00000000-0005-0000-0000-00002C580000}"/>
    <cellStyle name="Normal 15 2 2 5" xfId="9711" xr:uid="{00000000-0005-0000-0000-00002D580000}"/>
    <cellStyle name="Normal 15 2 2 5 2" xfId="17669" xr:uid="{00000000-0005-0000-0000-00002E580000}"/>
    <cellStyle name="Normal 15 2 2 5 3" xfId="25613" xr:uid="{00000000-0005-0000-0000-00002F580000}"/>
    <cellStyle name="Normal 15 2 2 6" xfId="10607" xr:uid="{00000000-0005-0000-0000-000030580000}"/>
    <cellStyle name="Normal 15 2 2 7" xfId="18562" xr:uid="{00000000-0005-0000-0000-000031580000}"/>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3" xfId="24724" xr:uid="{00000000-0005-0000-0000-000037580000}"/>
    <cellStyle name="Normal 15 2 3 2 3" xfId="13240" xr:uid="{00000000-0005-0000-0000-000038580000}"/>
    <cellStyle name="Normal 15 2 3 2 4" xfId="21195" xr:uid="{00000000-0005-0000-0000-000039580000}"/>
    <cellStyle name="Normal 15 2 3 3" xfId="7048" xr:uid="{00000000-0005-0000-0000-00003A580000}"/>
    <cellStyle name="Normal 15 2 3 3 2" xfId="15020" xr:uid="{00000000-0005-0000-0000-00003B580000}"/>
    <cellStyle name="Normal 15 2 3 3 3" xfId="22967" xr:uid="{00000000-0005-0000-0000-00003C580000}"/>
    <cellStyle name="Normal 15 2 3 4" xfId="11484" xr:uid="{00000000-0005-0000-0000-00003D580000}"/>
    <cellStyle name="Normal 15 2 3 5" xfId="19439" xr:uid="{00000000-0005-0000-0000-00003E580000}"/>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3" xfId="23846" xr:uid="{00000000-0005-0000-0000-000043580000}"/>
    <cellStyle name="Normal 15 2 4 3" xfId="12362" xr:uid="{00000000-0005-0000-0000-000044580000}"/>
    <cellStyle name="Normal 15 2 4 4" xfId="20317" xr:uid="{00000000-0005-0000-0000-000045580000}"/>
    <cellStyle name="Normal 15 2 5" xfId="6157" xr:uid="{00000000-0005-0000-0000-000046580000}"/>
    <cellStyle name="Normal 15 2 5 2" xfId="14141" xr:uid="{00000000-0005-0000-0000-000047580000}"/>
    <cellStyle name="Normal 15 2 5 3" xfId="22089" xr:uid="{00000000-0005-0000-0000-000048580000}"/>
    <cellStyle name="Normal 15 2 6" xfId="9710" xr:uid="{00000000-0005-0000-0000-000049580000}"/>
    <cellStyle name="Normal 15 2 6 2" xfId="17668" xr:uid="{00000000-0005-0000-0000-00004A580000}"/>
    <cellStyle name="Normal 15 2 6 3" xfId="25612" xr:uid="{00000000-0005-0000-0000-00004B580000}"/>
    <cellStyle name="Normal 15 2 7" xfId="10606" xr:uid="{00000000-0005-0000-0000-00004C580000}"/>
    <cellStyle name="Normal 15 2 8" xfId="18561" xr:uid="{00000000-0005-0000-0000-00004D580000}"/>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3" xfId="24726" xr:uid="{00000000-0005-0000-0000-000054580000}"/>
    <cellStyle name="Normal 15 3 2 2 3" xfId="13242" xr:uid="{00000000-0005-0000-0000-000055580000}"/>
    <cellStyle name="Normal 15 3 2 2 4" xfId="21197" xr:uid="{00000000-0005-0000-0000-000056580000}"/>
    <cellStyle name="Normal 15 3 2 3" xfId="7050" xr:uid="{00000000-0005-0000-0000-000057580000}"/>
    <cellStyle name="Normal 15 3 2 3 2" xfId="15022" xr:uid="{00000000-0005-0000-0000-000058580000}"/>
    <cellStyle name="Normal 15 3 2 3 3" xfId="22969" xr:uid="{00000000-0005-0000-0000-000059580000}"/>
    <cellStyle name="Normal 15 3 2 4" xfId="11486" xr:uid="{00000000-0005-0000-0000-00005A580000}"/>
    <cellStyle name="Normal 15 3 2 5" xfId="19441" xr:uid="{00000000-0005-0000-0000-00005B580000}"/>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3" xfId="23848" xr:uid="{00000000-0005-0000-0000-000060580000}"/>
    <cellStyle name="Normal 15 3 3 3" xfId="12364" xr:uid="{00000000-0005-0000-0000-000061580000}"/>
    <cellStyle name="Normal 15 3 3 4" xfId="20319" xr:uid="{00000000-0005-0000-0000-000062580000}"/>
    <cellStyle name="Normal 15 3 4" xfId="6159" xr:uid="{00000000-0005-0000-0000-000063580000}"/>
    <cellStyle name="Normal 15 3 4 2" xfId="14143" xr:uid="{00000000-0005-0000-0000-000064580000}"/>
    <cellStyle name="Normal 15 3 4 3" xfId="22091" xr:uid="{00000000-0005-0000-0000-000065580000}"/>
    <cellStyle name="Normal 15 3 5" xfId="9712" xr:uid="{00000000-0005-0000-0000-000066580000}"/>
    <cellStyle name="Normal 15 3 5 2" xfId="17670" xr:uid="{00000000-0005-0000-0000-000067580000}"/>
    <cellStyle name="Normal 15 3 5 3" xfId="25614" xr:uid="{00000000-0005-0000-0000-000068580000}"/>
    <cellStyle name="Normal 15 3 6" xfId="10608" xr:uid="{00000000-0005-0000-0000-000069580000}"/>
    <cellStyle name="Normal 15 3 7" xfId="18563" xr:uid="{00000000-0005-0000-0000-00006A580000}"/>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3" xfId="24723" xr:uid="{00000000-0005-0000-0000-000070580000}"/>
    <cellStyle name="Normal 15 4 2 3" xfId="13239" xr:uid="{00000000-0005-0000-0000-000071580000}"/>
    <cellStyle name="Normal 15 4 2 4" xfId="21194" xr:uid="{00000000-0005-0000-0000-000072580000}"/>
    <cellStyle name="Normal 15 4 3" xfId="7047" xr:uid="{00000000-0005-0000-0000-000073580000}"/>
    <cellStyle name="Normal 15 4 3 2" xfId="15019" xr:uid="{00000000-0005-0000-0000-000074580000}"/>
    <cellStyle name="Normal 15 4 3 3" xfId="22966" xr:uid="{00000000-0005-0000-0000-000075580000}"/>
    <cellStyle name="Normal 15 4 4" xfId="11483" xr:uid="{00000000-0005-0000-0000-000076580000}"/>
    <cellStyle name="Normal 15 4 5" xfId="19438" xr:uid="{00000000-0005-0000-0000-000077580000}"/>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3" xfId="23845" xr:uid="{00000000-0005-0000-0000-00007C580000}"/>
    <cellStyle name="Normal 15 5 3" xfId="12361" xr:uid="{00000000-0005-0000-0000-00007D580000}"/>
    <cellStyle name="Normal 15 5 4" xfId="20316" xr:uid="{00000000-0005-0000-0000-00007E580000}"/>
    <cellStyle name="Normal 15 6" xfId="6156" xr:uid="{00000000-0005-0000-0000-00007F580000}"/>
    <cellStyle name="Normal 15 6 2" xfId="14140" xr:uid="{00000000-0005-0000-0000-000080580000}"/>
    <cellStyle name="Normal 15 6 3" xfId="22088" xr:uid="{00000000-0005-0000-0000-000081580000}"/>
    <cellStyle name="Normal 15 7" xfId="9709" xr:uid="{00000000-0005-0000-0000-000082580000}"/>
    <cellStyle name="Normal 15 7 2" xfId="17667" xr:uid="{00000000-0005-0000-0000-000083580000}"/>
    <cellStyle name="Normal 15 7 3" xfId="25611" xr:uid="{00000000-0005-0000-0000-000084580000}"/>
    <cellStyle name="Normal 15 8" xfId="10605" xr:uid="{00000000-0005-0000-0000-000085580000}"/>
    <cellStyle name="Normal 15 9" xfId="18560" xr:uid="{00000000-0005-0000-0000-000086580000}"/>
    <cellStyle name="Normal 15_Exh G" xfId="3476" xr:uid="{00000000-0005-0000-0000-000087580000}"/>
    <cellStyle name="Normal 16" xfId="661" xr:uid="{00000000-0005-0000-0000-000088580000}"/>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3" xfId="24729" xr:uid="{00000000-0005-0000-0000-00008F580000}"/>
    <cellStyle name="Normal 16 2 2 2 2 3" xfId="13245" xr:uid="{00000000-0005-0000-0000-000090580000}"/>
    <cellStyle name="Normal 16 2 2 2 2 4" xfId="21200" xr:uid="{00000000-0005-0000-0000-000091580000}"/>
    <cellStyle name="Normal 16 2 2 2 3" xfId="7053" xr:uid="{00000000-0005-0000-0000-000092580000}"/>
    <cellStyle name="Normal 16 2 2 2 3 2" xfId="15025" xr:uid="{00000000-0005-0000-0000-000093580000}"/>
    <cellStyle name="Normal 16 2 2 2 3 3" xfId="22972" xr:uid="{00000000-0005-0000-0000-000094580000}"/>
    <cellStyle name="Normal 16 2 2 2 4" xfId="11489" xr:uid="{00000000-0005-0000-0000-000095580000}"/>
    <cellStyle name="Normal 16 2 2 2 5" xfId="19444" xr:uid="{00000000-0005-0000-0000-000096580000}"/>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3" xfId="23851" xr:uid="{00000000-0005-0000-0000-00009B580000}"/>
    <cellStyle name="Normal 16 2 2 3 3" xfId="12367" xr:uid="{00000000-0005-0000-0000-00009C580000}"/>
    <cellStyle name="Normal 16 2 2 3 4" xfId="20322" xr:uid="{00000000-0005-0000-0000-00009D580000}"/>
    <cellStyle name="Normal 16 2 2 4" xfId="6162" xr:uid="{00000000-0005-0000-0000-00009E580000}"/>
    <cellStyle name="Normal 16 2 2 4 2" xfId="14146" xr:uid="{00000000-0005-0000-0000-00009F580000}"/>
    <cellStyle name="Normal 16 2 2 4 3" xfId="22094" xr:uid="{00000000-0005-0000-0000-0000A0580000}"/>
    <cellStyle name="Normal 16 2 2 5" xfId="9715" xr:uid="{00000000-0005-0000-0000-0000A1580000}"/>
    <cellStyle name="Normal 16 2 2 5 2" xfId="17673" xr:uid="{00000000-0005-0000-0000-0000A2580000}"/>
    <cellStyle name="Normal 16 2 2 5 3" xfId="25617" xr:uid="{00000000-0005-0000-0000-0000A3580000}"/>
    <cellStyle name="Normal 16 2 2 6" xfId="10611" xr:uid="{00000000-0005-0000-0000-0000A4580000}"/>
    <cellStyle name="Normal 16 2 2 7" xfId="18566" xr:uid="{00000000-0005-0000-0000-0000A5580000}"/>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3" xfId="24728" xr:uid="{00000000-0005-0000-0000-0000AB580000}"/>
    <cellStyle name="Normal 16 2 3 2 3" xfId="13244" xr:uid="{00000000-0005-0000-0000-0000AC580000}"/>
    <cellStyle name="Normal 16 2 3 2 4" xfId="21199" xr:uid="{00000000-0005-0000-0000-0000AD580000}"/>
    <cellStyle name="Normal 16 2 3 3" xfId="7052" xr:uid="{00000000-0005-0000-0000-0000AE580000}"/>
    <cellStyle name="Normal 16 2 3 3 2" xfId="15024" xr:uid="{00000000-0005-0000-0000-0000AF580000}"/>
    <cellStyle name="Normal 16 2 3 3 3" xfId="22971" xr:uid="{00000000-0005-0000-0000-0000B0580000}"/>
    <cellStyle name="Normal 16 2 3 4" xfId="11488" xr:uid="{00000000-0005-0000-0000-0000B1580000}"/>
    <cellStyle name="Normal 16 2 3 5" xfId="19443" xr:uid="{00000000-0005-0000-0000-0000B2580000}"/>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3" xfId="23850" xr:uid="{00000000-0005-0000-0000-0000B7580000}"/>
    <cellStyle name="Normal 16 2 4 3" xfId="12366" xr:uid="{00000000-0005-0000-0000-0000B8580000}"/>
    <cellStyle name="Normal 16 2 4 4" xfId="20321" xr:uid="{00000000-0005-0000-0000-0000B9580000}"/>
    <cellStyle name="Normal 16 2 5" xfId="6161" xr:uid="{00000000-0005-0000-0000-0000BA580000}"/>
    <cellStyle name="Normal 16 2 5 2" xfId="14145" xr:uid="{00000000-0005-0000-0000-0000BB580000}"/>
    <cellStyle name="Normal 16 2 5 3" xfId="22093" xr:uid="{00000000-0005-0000-0000-0000BC580000}"/>
    <cellStyle name="Normal 16 2 6" xfId="9714" xr:uid="{00000000-0005-0000-0000-0000BD580000}"/>
    <cellStyle name="Normal 16 2 6 2" xfId="17672" xr:uid="{00000000-0005-0000-0000-0000BE580000}"/>
    <cellStyle name="Normal 16 2 6 3" xfId="25616" xr:uid="{00000000-0005-0000-0000-0000BF580000}"/>
    <cellStyle name="Normal 16 2 7" xfId="10610" xr:uid="{00000000-0005-0000-0000-0000C0580000}"/>
    <cellStyle name="Normal 16 2 8" xfId="18565" xr:uid="{00000000-0005-0000-0000-0000C1580000}"/>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3" xfId="24730" xr:uid="{00000000-0005-0000-0000-0000C8580000}"/>
    <cellStyle name="Normal 16 3 2 2 3" xfId="13246" xr:uid="{00000000-0005-0000-0000-0000C9580000}"/>
    <cellStyle name="Normal 16 3 2 2 4" xfId="21201" xr:uid="{00000000-0005-0000-0000-0000CA580000}"/>
    <cellStyle name="Normal 16 3 2 3" xfId="7054" xr:uid="{00000000-0005-0000-0000-0000CB580000}"/>
    <cellStyle name="Normal 16 3 2 3 2" xfId="15026" xr:uid="{00000000-0005-0000-0000-0000CC580000}"/>
    <cellStyle name="Normal 16 3 2 3 3" xfId="22973" xr:uid="{00000000-0005-0000-0000-0000CD580000}"/>
    <cellStyle name="Normal 16 3 2 4" xfId="11490" xr:uid="{00000000-0005-0000-0000-0000CE580000}"/>
    <cellStyle name="Normal 16 3 2 5" xfId="19445" xr:uid="{00000000-0005-0000-0000-0000CF580000}"/>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3" xfId="23852" xr:uid="{00000000-0005-0000-0000-0000D4580000}"/>
    <cellStyle name="Normal 16 3 3 3" xfId="12368" xr:uid="{00000000-0005-0000-0000-0000D5580000}"/>
    <cellStyle name="Normal 16 3 3 4" xfId="20323" xr:uid="{00000000-0005-0000-0000-0000D6580000}"/>
    <cellStyle name="Normal 16 3 4" xfId="6163" xr:uid="{00000000-0005-0000-0000-0000D7580000}"/>
    <cellStyle name="Normal 16 3 4 2" xfId="14147" xr:uid="{00000000-0005-0000-0000-0000D8580000}"/>
    <cellStyle name="Normal 16 3 4 3" xfId="22095" xr:uid="{00000000-0005-0000-0000-0000D9580000}"/>
    <cellStyle name="Normal 16 3 5" xfId="9716" xr:uid="{00000000-0005-0000-0000-0000DA580000}"/>
    <cellStyle name="Normal 16 3 5 2" xfId="17674" xr:uid="{00000000-0005-0000-0000-0000DB580000}"/>
    <cellStyle name="Normal 16 3 5 3" xfId="25618" xr:uid="{00000000-0005-0000-0000-0000DC580000}"/>
    <cellStyle name="Normal 16 3 6" xfId="10612" xr:uid="{00000000-0005-0000-0000-0000DD580000}"/>
    <cellStyle name="Normal 16 3 7" xfId="18567" xr:uid="{00000000-0005-0000-0000-0000DE580000}"/>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3" xfId="24727" xr:uid="{00000000-0005-0000-0000-0000E4580000}"/>
    <cellStyle name="Normal 16 4 2 3" xfId="13243" xr:uid="{00000000-0005-0000-0000-0000E5580000}"/>
    <cellStyle name="Normal 16 4 2 4" xfId="21198" xr:uid="{00000000-0005-0000-0000-0000E6580000}"/>
    <cellStyle name="Normal 16 4 3" xfId="7051" xr:uid="{00000000-0005-0000-0000-0000E7580000}"/>
    <cellStyle name="Normal 16 4 3 2" xfId="15023" xr:uid="{00000000-0005-0000-0000-0000E8580000}"/>
    <cellStyle name="Normal 16 4 3 3" xfId="22970" xr:uid="{00000000-0005-0000-0000-0000E9580000}"/>
    <cellStyle name="Normal 16 4 4" xfId="11487" xr:uid="{00000000-0005-0000-0000-0000EA580000}"/>
    <cellStyle name="Normal 16 4 5" xfId="19442" xr:uid="{00000000-0005-0000-0000-0000EB580000}"/>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3" xfId="23849" xr:uid="{00000000-0005-0000-0000-0000F0580000}"/>
    <cellStyle name="Normal 16 5 3" xfId="12365" xr:uid="{00000000-0005-0000-0000-0000F1580000}"/>
    <cellStyle name="Normal 16 5 4" xfId="20320" xr:uid="{00000000-0005-0000-0000-0000F2580000}"/>
    <cellStyle name="Normal 16 6" xfId="6160" xr:uid="{00000000-0005-0000-0000-0000F3580000}"/>
    <cellStyle name="Normal 16 6 2" xfId="14144" xr:uid="{00000000-0005-0000-0000-0000F4580000}"/>
    <cellStyle name="Normal 16 6 3" xfId="22092" xr:uid="{00000000-0005-0000-0000-0000F5580000}"/>
    <cellStyle name="Normal 16 7" xfId="9713" xr:uid="{00000000-0005-0000-0000-0000F6580000}"/>
    <cellStyle name="Normal 16 7 2" xfId="17671" xr:uid="{00000000-0005-0000-0000-0000F7580000}"/>
    <cellStyle name="Normal 16 7 3" xfId="25615" xr:uid="{00000000-0005-0000-0000-0000F8580000}"/>
    <cellStyle name="Normal 16 8" xfId="10609" xr:uid="{00000000-0005-0000-0000-0000F9580000}"/>
    <cellStyle name="Normal 16 9" xfId="18564" xr:uid="{00000000-0005-0000-0000-0000FA580000}"/>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3" xfId="24731" xr:uid="{00000000-0005-0000-0000-000001590000}"/>
    <cellStyle name="Normal 17 2 2 3" xfId="13247" xr:uid="{00000000-0005-0000-0000-000002590000}"/>
    <cellStyle name="Normal 17 2 2 4" xfId="21202" xr:uid="{00000000-0005-0000-0000-000003590000}"/>
    <cellStyle name="Normal 17 2 3" xfId="7055" xr:uid="{00000000-0005-0000-0000-000004590000}"/>
    <cellStyle name="Normal 17 2 3 2" xfId="15027" xr:uid="{00000000-0005-0000-0000-000005590000}"/>
    <cellStyle name="Normal 17 2 3 3" xfId="22974" xr:uid="{00000000-0005-0000-0000-000006590000}"/>
    <cellStyle name="Normal 17 2 4" xfId="11491" xr:uid="{00000000-0005-0000-0000-000007590000}"/>
    <cellStyle name="Normal 17 2 5" xfId="19446" xr:uid="{00000000-0005-0000-0000-000008590000}"/>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3" xfId="23853" xr:uid="{00000000-0005-0000-0000-00000D590000}"/>
    <cellStyle name="Normal 17 3 3" xfId="12369" xr:uid="{00000000-0005-0000-0000-00000E590000}"/>
    <cellStyle name="Normal 17 3 4" xfId="20324" xr:uid="{00000000-0005-0000-0000-00000F590000}"/>
    <cellStyle name="Normal 17 4" xfId="6164" xr:uid="{00000000-0005-0000-0000-000010590000}"/>
    <cellStyle name="Normal 17 4 2" xfId="14148" xr:uid="{00000000-0005-0000-0000-000011590000}"/>
    <cellStyle name="Normal 17 4 3" xfId="22096" xr:uid="{00000000-0005-0000-0000-000012590000}"/>
    <cellStyle name="Normal 17 5" xfId="9717" xr:uid="{00000000-0005-0000-0000-000013590000}"/>
    <cellStyle name="Normal 17 5 2" xfId="17675" xr:uid="{00000000-0005-0000-0000-000014590000}"/>
    <cellStyle name="Normal 17 5 3" xfId="25619" xr:uid="{00000000-0005-0000-0000-000015590000}"/>
    <cellStyle name="Normal 17 6" xfId="10613" xr:uid="{00000000-0005-0000-0000-000016590000}"/>
    <cellStyle name="Normal 17 7" xfId="18568" xr:uid="{00000000-0005-0000-0000-00001759000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3" xfId="24806" xr:uid="{00000000-0005-0000-0000-00001F590000}"/>
    <cellStyle name="Normal 19 2 2 3" xfId="13322" xr:uid="{00000000-0005-0000-0000-000020590000}"/>
    <cellStyle name="Normal 19 2 2 4" xfId="21277" xr:uid="{00000000-0005-0000-0000-000021590000}"/>
    <cellStyle name="Normal 19 2 3" xfId="7130" xr:uid="{00000000-0005-0000-0000-000022590000}"/>
    <cellStyle name="Normal 19 2 3 2" xfId="15102" xr:uid="{00000000-0005-0000-0000-000023590000}"/>
    <cellStyle name="Normal 19 2 3 3" xfId="23049" xr:uid="{00000000-0005-0000-0000-000024590000}"/>
    <cellStyle name="Normal 19 2 4" xfId="11566" xr:uid="{00000000-0005-0000-0000-000025590000}"/>
    <cellStyle name="Normal 19 2 5" xfId="19521" xr:uid="{00000000-0005-0000-0000-000026590000}"/>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3" xfId="23928" xr:uid="{00000000-0005-0000-0000-00002B590000}"/>
    <cellStyle name="Normal 19 3 3" xfId="12444" xr:uid="{00000000-0005-0000-0000-00002C590000}"/>
    <cellStyle name="Normal 19 3 4" xfId="20399" xr:uid="{00000000-0005-0000-0000-00002D590000}"/>
    <cellStyle name="Normal 19 4" xfId="6249" xr:uid="{00000000-0005-0000-0000-00002E590000}"/>
    <cellStyle name="Normal 19 4 2" xfId="14224" xr:uid="{00000000-0005-0000-0000-00002F590000}"/>
    <cellStyle name="Normal 19 4 3" xfId="22171" xr:uid="{00000000-0005-0000-0000-000030590000}"/>
    <cellStyle name="Normal 19 5" xfId="9792" xr:uid="{00000000-0005-0000-0000-000031590000}"/>
    <cellStyle name="Normal 19 5 2" xfId="17750" xr:uid="{00000000-0005-0000-0000-000032590000}"/>
    <cellStyle name="Normal 19 5 3" xfId="25694" xr:uid="{00000000-0005-0000-0000-000033590000}"/>
    <cellStyle name="Normal 19 6" xfId="10688" xr:uid="{00000000-0005-0000-0000-000034590000}"/>
    <cellStyle name="Normal 19 7" xfId="18643" xr:uid="{00000000-0005-0000-0000-000035590000}"/>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3" xfId="24966" xr:uid="{00000000-0005-0000-0000-00003B590000}"/>
    <cellStyle name="Normal 2 10 3" xfId="13483" xr:uid="{00000000-0005-0000-0000-00003C590000}"/>
    <cellStyle name="Normal 2 10 4" xfId="21437" xr:uid="{00000000-0005-0000-0000-00003D590000}"/>
    <cellStyle name="Normal 2 11" xfId="5465" xr:uid="{00000000-0005-0000-0000-00003E590000}"/>
    <cellStyle name="Normal 2 11 2" xfId="9056" xr:uid="{00000000-0005-0000-0000-00003F590000}"/>
    <cellStyle name="Normal 2 11 2 2" xfId="17021" xr:uid="{00000000-0005-0000-0000-000040590000}"/>
    <cellStyle name="Normal 2 11 2 3" xfId="24967" xr:uid="{00000000-0005-0000-0000-000041590000}"/>
    <cellStyle name="Normal 2 11 3" xfId="13484" xr:uid="{00000000-0005-0000-0000-000042590000}"/>
    <cellStyle name="Normal 2 11 4" xfId="21438" xr:uid="{00000000-0005-0000-0000-000043590000}"/>
    <cellStyle name="Normal 2 12" xfId="5483" xr:uid="{00000000-0005-0000-0000-000044590000}"/>
    <cellStyle name="Normal 2 12 2" xfId="9063" xr:uid="{00000000-0005-0000-0000-000045590000}"/>
    <cellStyle name="Normal 2 12 2 2" xfId="17024" xr:uid="{00000000-0005-0000-0000-000046590000}"/>
    <cellStyle name="Normal 2 12 2 3" xfId="24970" xr:uid="{00000000-0005-0000-0000-000047590000}"/>
    <cellStyle name="Normal 2 12 3" xfId="13487" xr:uid="{00000000-0005-0000-0000-000048590000}"/>
    <cellStyle name="Normal 2 12 4" xfId="21441" xr:uid="{00000000-0005-0000-0000-000049590000}"/>
    <cellStyle name="Normal 2 13" xfId="5489" xr:uid="{00000000-0005-0000-0000-00004A590000}"/>
    <cellStyle name="Normal 2 13 2" xfId="9068" xr:uid="{00000000-0005-0000-0000-00004B590000}"/>
    <cellStyle name="Normal 2 13 2 2" xfId="17027" xr:uid="{00000000-0005-0000-0000-00004C590000}"/>
    <cellStyle name="Normal 2 13 2 3" xfId="24973" xr:uid="{00000000-0005-0000-0000-00004D590000}"/>
    <cellStyle name="Normal 2 13 3" xfId="13490" xr:uid="{00000000-0005-0000-0000-00004E590000}"/>
    <cellStyle name="Normal 2 13 4" xfId="21444" xr:uid="{00000000-0005-0000-0000-00004F590000}"/>
    <cellStyle name="Normal 2 14" xfId="5495" xr:uid="{00000000-0005-0000-0000-000050590000}"/>
    <cellStyle name="Normal 2 14 2" xfId="5515" xr:uid="{00000000-0005-0000-0000-000051590000}"/>
    <cellStyle name="Normal 2 14 3" xfId="13493" xr:uid="{00000000-0005-0000-0000-000052590000}"/>
    <cellStyle name="Normal 2 14 4" xfId="21445" xr:uid="{00000000-0005-0000-0000-000053590000}"/>
    <cellStyle name="Normal 2 15" xfId="5501" xr:uid="{00000000-0005-0000-0000-000054590000}"/>
    <cellStyle name="Normal 2 15 2" xfId="13498" xr:uid="{00000000-0005-0000-0000-000055590000}"/>
    <cellStyle name="Normal 2 15 3" xfId="21448" xr:uid="{00000000-0005-0000-0000-000056590000}"/>
    <cellStyle name="Normal 2 16" xfId="5506" xr:uid="{00000000-0005-0000-0000-000057590000}"/>
    <cellStyle name="Normal 2 16 2" xfId="13502" xr:uid="{00000000-0005-0000-0000-000058590000}"/>
    <cellStyle name="Normal 2 16 3" xfId="21451" xr:uid="{00000000-0005-0000-0000-000059590000}"/>
    <cellStyle name="Normal 2 17" xfId="9071" xr:uid="{00000000-0005-0000-0000-00005A590000}"/>
    <cellStyle name="Normal 2 17 2" xfId="17030" xr:uid="{00000000-0005-0000-0000-00005B590000}"/>
    <cellStyle name="Normal 2 17 3" xfId="24974" xr:uid="{00000000-0005-0000-0000-00005C590000}"/>
    <cellStyle name="Normal 2 18" xfId="9959" xr:uid="{00000000-0005-0000-0000-00005D590000}"/>
    <cellStyle name="Normal 2 18 2" xfId="17916" xr:uid="{00000000-0005-0000-0000-00005E590000}"/>
    <cellStyle name="Normal 2 18 3" xfId="25858" xr:uid="{00000000-0005-0000-0000-00005F590000}"/>
    <cellStyle name="Normal 2 19" xfId="9968" xr:uid="{00000000-0005-0000-0000-000060590000}"/>
    <cellStyle name="Normal 2 2" xfId="18" xr:uid="{00000000-0005-0000-0000-000061590000}"/>
    <cellStyle name="Normal 2 2 10" xfId="5503" xr:uid="{00000000-0005-0000-0000-000062590000}"/>
    <cellStyle name="Normal 2 2 10 2" xfId="13500" xr:uid="{00000000-0005-0000-0000-000063590000}"/>
    <cellStyle name="Normal 2 2 10 3" xfId="21450" xr:uid="{00000000-0005-0000-0000-000064590000}"/>
    <cellStyle name="Normal 2 2 11" xfId="5510" xr:uid="{00000000-0005-0000-0000-000065590000}"/>
    <cellStyle name="Normal 2 2 11 2" xfId="13503" xr:uid="{00000000-0005-0000-0000-000066590000}"/>
    <cellStyle name="Normal 2 2 11 3" xfId="21452" xr:uid="{00000000-0005-0000-0000-000067590000}"/>
    <cellStyle name="Normal 2 2 12" xfId="9072" xr:uid="{00000000-0005-0000-0000-000068590000}"/>
    <cellStyle name="Normal 2 2 12 2" xfId="17031" xr:uid="{00000000-0005-0000-0000-000069590000}"/>
    <cellStyle name="Normal 2 2 12 3" xfId="24975" xr:uid="{00000000-0005-0000-0000-00006A590000}"/>
    <cellStyle name="Normal 2 2 13" xfId="9073" xr:uid="{00000000-0005-0000-0000-00006B590000}"/>
    <cellStyle name="Normal 2 2 14" xfId="9960" xr:uid="{00000000-0005-0000-0000-00006C590000}"/>
    <cellStyle name="Normal 2 2 14 2" xfId="17917" xr:uid="{00000000-0005-0000-0000-00006D590000}"/>
    <cellStyle name="Normal 2 2 14 3" xfId="25859" xr:uid="{00000000-0005-0000-0000-00006E590000}"/>
    <cellStyle name="Normal 2 2 15" xfId="9969" xr:uid="{00000000-0005-0000-0000-00006F590000}"/>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3" xfId="24732" xr:uid="{00000000-0005-0000-0000-000076590000}"/>
    <cellStyle name="Normal 2 2 2 2 2 3" xfId="13248" xr:uid="{00000000-0005-0000-0000-000077590000}"/>
    <cellStyle name="Normal 2 2 2 2 2 4" xfId="21203" xr:uid="{00000000-0005-0000-0000-000078590000}"/>
    <cellStyle name="Normal 2 2 2 2 3" xfId="7056" xr:uid="{00000000-0005-0000-0000-000079590000}"/>
    <cellStyle name="Normal 2 2 2 2 3 2" xfId="15028" xr:uid="{00000000-0005-0000-0000-00007A590000}"/>
    <cellStyle name="Normal 2 2 2 2 3 3" xfId="22975" xr:uid="{00000000-0005-0000-0000-00007B590000}"/>
    <cellStyle name="Normal 2 2 2 2 4" xfId="11492" xr:uid="{00000000-0005-0000-0000-00007C590000}"/>
    <cellStyle name="Normal 2 2 2 2 5" xfId="19447" xr:uid="{00000000-0005-0000-0000-00007D590000}"/>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3" xfId="23854" xr:uid="{00000000-0005-0000-0000-000082590000}"/>
    <cellStyle name="Normal 2 2 2 3 3" xfId="12370" xr:uid="{00000000-0005-0000-0000-000083590000}"/>
    <cellStyle name="Normal 2 2 2 3 4" xfId="20325" xr:uid="{00000000-0005-0000-0000-000084590000}"/>
    <cellStyle name="Normal 2 2 2 4" xfId="6165" xr:uid="{00000000-0005-0000-0000-000085590000}"/>
    <cellStyle name="Normal 2 2 2 4 2" xfId="14149" xr:uid="{00000000-0005-0000-0000-000086590000}"/>
    <cellStyle name="Normal 2 2 2 4 3" xfId="22097" xr:uid="{00000000-0005-0000-0000-000087590000}"/>
    <cellStyle name="Normal 2 2 2 5" xfId="9718" xr:uid="{00000000-0005-0000-0000-000088590000}"/>
    <cellStyle name="Normal 2 2 2 5 2" xfId="17676" xr:uid="{00000000-0005-0000-0000-000089590000}"/>
    <cellStyle name="Normal 2 2 2 5 3" xfId="25620" xr:uid="{00000000-0005-0000-0000-00008A590000}"/>
    <cellStyle name="Normal 2 2 2 6" xfId="10614" xr:uid="{00000000-0005-0000-0000-00008B590000}"/>
    <cellStyle name="Normal 2 2 2 7" xfId="18569" xr:uid="{00000000-0005-0000-0000-00008C590000}"/>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3" xfId="24968" xr:uid="{00000000-0005-0000-0000-000093590000}"/>
    <cellStyle name="Normal 2 2 5 3" xfId="13485" xr:uid="{00000000-0005-0000-0000-000094590000}"/>
    <cellStyle name="Normal 2 2 5 4" xfId="21439" xr:uid="{00000000-0005-0000-0000-000095590000}"/>
    <cellStyle name="Normal 2 2 6" xfId="5478" xr:uid="{00000000-0005-0000-0000-000096590000}"/>
    <cellStyle name="Normal 2 2 6 2" xfId="9059" xr:uid="{00000000-0005-0000-0000-000097590000}"/>
    <cellStyle name="Normal 2 2 6 2 2" xfId="17023" xr:uid="{00000000-0005-0000-0000-000098590000}"/>
    <cellStyle name="Normal 2 2 6 2 3" xfId="24969" xr:uid="{00000000-0005-0000-0000-000099590000}"/>
    <cellStyle name="Normal 2 2 6 3" xfId="13486" xr:uid="{00000000-0005-0000-0000-00009A590000}"/>
    <cellStyle name="Normal 2 2 6 4" xfId="21440" xr:uid="{00000000-0005-0000-0000-00009B590000}"/>
    <cellStyle name="Normal 2 2 7" xfId="5496" xr:uid="{00000000-0005-0000-0000-00009C590000}"/>
    <cellStyle name="Normal 2 2 7 2" xfId="5520" xr:uid="{00000000-0005-0000-0000-00009D590000}"/>
    <cellStyle name="Normal 2 2 7 3" xfId="13494" xr:uid="{00000000-0005-0000-0000-00009E590000}"/>
    <cellStyle name="Normal 2 2 7 4" xfId="21446" xr:uid="{00000000-0005-0000-0000-00009F590000}"/>
    <cellStyle name="Normal 2 2 8" xfId="5498" xr:uid="{00000000-0005-0000-0000-0000A0590000}"/>
    <cellStyle name="Normal 2 2 8 2" xfId="13495" xr:uid="{00000000-0005-0000-0000-0000A1590000}"/>
    <cellStyle name="Normal 2 2 8 3" xfId="21447" xr:uid="{00000000-0005-0000-0000-0000A2590000}"/>
    <cellStyle name="Normal 2 2 9" xfId="5502" xr:uid="{00000000-0005-0000-0000-0000A3590000}"/>
    <cellStyle name="Normal 2 2 9 2" xfId="13499" xr:uid="{00000000-0005-0000-0000-0000A4590000}"/>
    <cellStyle name="Normal 2 2 9 3" xfId="21449" xr:uid="{00000000-0005-0000-0000-0000A5590000}"/>
    <cellStyle name="Normal 2 2_Exh G" xfId="3496" xr:uid="{00000000-0005-0000-0000-0000A6590000}"/>
    <cellStyle name="Normal 2 3" xfId="667" xr:uid="{00000000-0005-0000-0000-0000A7590000}"/>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3" xfId="24733" xr:uid="{00000000-0005-0000-0000-0000AF590000}"/>
    <cellStyle name="Normal 2 3 3 2 3" xfId="13249" xr:uid="{00000000-0005-0000-0000-0000B0590000}"/>
    <cellStyle name="Normal 2 3 3 2 4" xfId="21204" xr:uid="{00000000-0005-0000-0000-0000B1590000}"/>
    <cellStyle name="Normal 2 3 3 3" xfId="7057" xr:uid="{00000000-0005-0000-0000-0000B2590000}"/>
    <cellStyle name="Normal 2 3 3 3 2" xfId="15029" xr:uid="{00000000-0005-0000-0000-0000B3590000}"/>
    <cellStyle name="Normal 2 3 3 3 3" xfId="22976" xr:uid="{00000000-0005-0000-0000-0000B4590000}"/>
    <cellStyle name="Normal 2 3 3 4" xfId="11493" xr:uid="{00000000-0005-0000-0000-0000B5590000}"/>
    <cellStyle name="Normal 2 3 3 5" xfId="19448" xr:uid="{00000000-0005-0000-0000-0000B6590000}"/>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3" xfId="23855" xr:uid="{00000000-0005-0000-0000-0000BB590000}"/>
    <cellStyle name="Normal 2 3 4 3" xfId="12371" xr:uid="{00000000-0005-0000-0000-0000BC590000}"/>
    <cellStyle name="Normal 2 3 4 4" xfId="20326" xr:uid="{00000000-0005-0000-0000-0000BD590000}"/>
    <cellStyle name="Normal 2 3 5" xfId="6166" xr:uid="{00000000-0005-0000-0000-0000BE590000}"/>
    <cellStyle name="Normal 2 3 5 2" xfId="14150" xr:uid="{00000000-0005-0000-0000-0000BF590000}"/>
    <cellStyle name="Normal 2 3 5 3" xfId="22098" xr:uid="{00000000-0005-0000-0000-0000C0590000}"/>
    <cellStyle name="Normal 2 3 6" xfId="7291" xr:uid="{00000000-0005-0000-0000-0000C1590000}"/>
    <cellStyle name="Normal 2 3 6 2" xfId="15262" xr:uid="{00000000-0005-0000-0000-0000C2590000}"/>
    <cellStyle name="Normal 2 3 6 3" xfId="23209" xr:uid="{00000000-0005-0000-0000-0000C3590000}"/>
    <cellStyle name="Normal 2 3 7" xfId="9719" xr:uid="{00000000-0005-0000-0000-0000C4590000}"/>
    <cellStyle name="Normal 2 3 7 2" xfId="17677" xr:uid="{00000000-0005-0000-0000-0000C5590000}"/>
    <cellStyle name="Normal 2 3 7 3" xfId="25621" xr:uid="{00000000-0005-0000-0000-0000C6590000}"/>
    <cellStyle name="Normal 2 3 8" xfId="10615" xr:uid="{00000000-0005-0000-0000-0000C7590000}"/>
    <cellStyle name="Normal 2 3 9" xfId="18570" xr:uid="{00000000-0005-0000-0000-0000C8590000}"/>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3" xfId="24807" xr:uid="{00000000-0005-0000-0000-0000E5590000}"/>
    <cellStyle name="Normal 22 2 2 3" xfId="13323" xr:uid="{00000000-0005-0000-0000-0000E6590000}"/>
    <cellStyle name="Normal 22 2 2 4" xfId="21278" xr:uid="{00000000-0005-0000-0000-0000E7590000}"/>
    <cellStyle name="Normal 22 2 3" xfId="7131" xr:uid="{00000000-0005-0000-0000-0000E8590000}"/>
    <cellStyle name="Normal 22 2 3 2" xfId="15103" xr:uid="{00000000-0005-0000-0000-0000E9590000}"/>
    <cellStyle name="Normal 22 2 3 3" xfId="23050" xr:uid="{00000000-0005-0000-0000-0000EA590000}"/>
    <cellStyle name="Normal 22 2 4" xfId="11567" xr:uid="{00000000-0005-0000-0000-0000EB590000}"/>
    <cellStyle name="Normal 22 2 5" xfId="19522" xr:uid="{00000000-0005-0000-0000-0000EC590000}"/>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3" xfId="23929" xr:uid="{00000000-0005-0000-0000-0000F1590000}"/>
    <cellStyle name="Normal 22 3 3" xfId="12445" xr:uid="{00000000-0005-0000-0000-0000F2590000}"/>
    <cellStyle name="Normal 22 3 4" xfId="20400" xr:uid="{00000000-0005-0000-0000-0000F3590000}"/>
    <cellStyle name="Normal 22 4" xfId="5487" xr:uid="{00000000-0005-0000-0000-0000F4590000}"/>
    <cellStyle name="Normal 22 4 2" xfId="9067" xr:uid="{00000000-0005-0000-0000-0000F5590000}"/>
    <cellStyle name="Normal 22 4 2 2" xfId="17026" xr:uid="{00000000-0005-0000-0000-0000F6590000}"/>
    <cellStyle name="Normal 22 4 2 3" xfId="24972" xr:uid="{00000000-0005-0000-0000-0000F7590000}"/>
    <cellStyle name="Normal 22 4 3" xfId="13489" xr:uid="{00000000-0005-0000-0000-0000F8590000}"/>
    <cellStyle name="Normal 22 4 4" xfId="21443" xr:uid="{00000000-0005-0000-0000-0000F9590000}"/>
    <cellStyle name="Normal 22 5" xfId="6250" xr:uid="{00000000-0005-0000-0000-0000FA590000}"/>
    <cellStyle name="Normal 22 5 2" xfId="14225" xr:uid="{00000000-0005-0000-0000-0000FB590000}"/>
    <cellStyle name="Normal 22 5 3" xfId="22172" xr:uid="{00000000-0005-0000-0000-0000FC590000}"/>
    <cellStyle name="Normal 22 6" xfId="9793" xr:uid="{00000000-0005-0000-0000-0000FD590000}"/>
    <cellStyle name="Normal 22 6 2" xfId="17751" xr:uid="{00000000-0005-0000-0000-0000FE590000}"/>
    <cellStyle name="Normal 22 6 3" xfId="25695" xr:uid="{00000000-0005-0000-0000-0000FF590000}"/>
    <cellStyle name="Normal 22 7" xfId="9953" xr:uid="{00000000-0005-0000-0000-0000005A0000}"/>
    <cellStyle name="Normal 22 7 2" xfId="17911" xr:uid="{00000000-0005-0000-0000-0000015A0000}"/>
    <cellStyle name="Normal 22 7 3" xfId="25855" xr:uid="{00000000-0005-0000-0000-0000025A0000}"/>
    <cellStyle name="Normal 22 8" xfId="9955" xr:uid="{00000000-0005-0000-0000-0000035A0000}"/>
    <cellStyle name="Normal 22 8 2" xfId="17913" xr:uid="{00000000-0005-0000-0000-0000045A0000}"/>
    <cellStyle name="Normal 22 8 3" xfId="25857" xr:uid="{00000000-0005-0000-0000-0000055A0000}"/>
    <cellStyle name="Normal 22 9" xfId="10689" xr:uid="{00000000-0005-0000-0000-0000065A0000}"/>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3" xfId="24809" xr:uid="{00000000-0005-0000-0000-00000E5A0000}"/>
    <cellStyle name="Normal 24 2 2 3" xfId="13325" xr:uid="{00000000-0005-0000-0000-00000F5A0000}"/>
    <cellStyle name="Normal 24 2 2 4" xfId="21280" xr:uid="{00000000-0005-0000-0000-0000105A0000}"/>
    <cellStyle name="Normal 24 2 3" xfId="7133" xr:uid="{00000000-0005-0000-0000-0000115A0000}"/>
    <cellStyle name="Normal 24 2 3 2" xfId="15105" xr:uid="{00000000-0005-0000-0000-0000125A0000}"/>
    <cellStyle name="Normal 24 2 3 3" xfId="23052" xr:uid="{00000000-0005-0000-0000-0000135A0000}"/>
    <cellStyle name="Normal 24 2 4" xfId="11569" xr:uid="{00000000-0005-0000-0000-0000145A0000}"/>
    <cellStyle name="Normal 24 2 5" xfId="19524" xr:uid="{00000000-0005-0000-0000-0000155A0000}"/>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3" xfId="23931" xr:uid="{00000000-0005-0000-0000-00001A5A0000}"/>
    <cellStyle name="Normal 24 3 3" xfId="12447" xr:uid="{00000000-0005-0000-0000-00001B5A0000}"/>
    <cellStyle name="Normal 24 3 4" xfId="20402" xr:uid="{00000000-0005-0000-0000-00001C5A0000}"/>
    <cellStyle name="Normal 24 4" xfId="6252" xr:uid="{00000000-0005-0000-0000-00001D5A0000}"/>
    <cellStyle name="Normal 24 4 2" xfId="14227" xr:uid="{00000000-0005-0000-0000-00001E5A0000}"/>
    <cellStyle name="Normal 24 4 3" xfId="22174" xr:uid="{00000000-0005-0000-0000-00001F5A0000}"/>
    <cellStyle name="Normal 24 5" xfId="9795" xr:uid="{00000000-0005-0000-0000-0000205A0000}"/>
    <cellStyle name="Normal 24 5 2" xfId="17753" xr:uid="{00000000-0005-0000-0000-0000215A0000}"/>
    <cellStyle name="Normal 24 5 3" xfId="25697" xr:uid="{00000000-0005-0000-0000-0000225A0000}"/>
    <cellStyle name="Normal 24 6" xfId="10691" xr:uid="{00000000-0005-0000-0000-0000235A0000}"/>
    <cellStyle name="Normal 24 7" xfId="18646" xr:uid="{00000000-0005-0000-0000-0000245A000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3" xfId="24735" xr:uid="{00000000-0005-0000-0000-0000375A0000}"/>
    <cellStyle name="Normal 3 2 2 2 2 3" xfId="13251" xr:uid="{00000000-0005-0000-0000-0000385A0000}"/>
    <cellStyle name="Normal 3 2 2 2 2 4" xfId="21206" xr:uid="{00000000-0005-0000-0000-0000395A0000}"/>
    <cellStyle name="Normal 3 2 2 2 3" xfId="7059" xr:uid="{00000000-0005-0000-0000-00003A5A0000}"/>
    <cellStyle name="Normal 3 2 2 2 3 2" xfId="15031" xr:uid="{00000000-0005-0000-0000-00003B5A0000}"/>
    <cellStyle name="Normal 3 2 2 2 3 3" xfId="22978" xr:uid="{00000000-0005-0000-0000-00003C5A0000}"/>
    <cellStyle name="Normal 3 2 2 2 4" xfId="11495" xr:uid="{00000000-0005-0000-0000-00003D5A0000}"/>
    <cellStyle name="Normal 3 2 2 2 5" xfId="19450" xr:uid="{00000000-0005-0000-0000-00003E5A0000}"/>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3" xfId="23857" xr:uid="{00000000-0005-0000-0000-0000435A0000}"/>
    <cellStyle name="Normal 3 2 2 3 3" xfId="12373" xr:uid="{00000000-0005-0000-0000-0000445A0000}"/>
    <cellStyle name="Normal 3 2 2 3 4" xfId="20328" xr:uid="{00000000-0005-0000-0000-0000455A0000}"/>
    <cellStyle name="Normal 3 2 2 4" xfId="6168" xr:uid="{00000000-0005-0000-0000-0000465A0000}"/>
    <cellStyle name="Normal 3 2 2 4 2" xfId="14152" xr:uid="{00000000-0005-0000-0000-0000475A0000}"/>
    <cellStyle name="Normal 3 2 2 4 3" xfId="22100" xr:uid="{00000000-0005-0000-0000-0000485A0000}"/>
    <cellStyle name="Normal 3 2 2 5" xfId="9721" xr:uid="{00000000-0005-0000-0000-0000495A0000}"/>
    <cellStyle name="Normal 3 2 2 5 2" xfId="17679" xr:uid="{00000000-0005-0000-0000-00004A5A0000}"/>
    <cellStyle name="Normal 3 2 2 5 3" xfId="25623" xr:uid="{00000000-0005-0000-0000-00004B5A0000}"/>
    <cellStyle name="Normal 3 2 2 6" xfId="10617" xr:uid="{00000000-0005-0000-0000-00004C5A0000}"/>
    <cellStyle name="Normal 3 2 2 7" xfId="18572" xr:uid="{00000000-0005-0000-0000-00004D5A0000}"/>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3" xfId="24950" xr:uid="{00000000-0005-0000-0000-0000545A0000}"/>
    <cellStyle name="Normal 3 2 3 2 2 3" xfId="13466" xr:uid="{00000000-0005-0000-0000-0000555A0000}"/>
    <cellStyle name="Normal 3 2 3 2 2 4" xfId="21421" xr:uid="{00000000-0005-0000-0000-0000565A0000}"/>
    <cellStyle name="Normal 3 2 3 2 3" xfId="7274" xr:uid="{00000000-0005-0000-0000-0000575A0000}"/>
    <cellStyle name="Normal 3 2 3 2 3 2" xfId="15246" xr:uid="{00000000-0005-0000-0000-0000585A0000}"/>
    <cellStyle name="Normal 3 2 3 2 3 3" xfId="23193" xr:uid="{00000000-0005-0000-0000-0000595A0000}"/>
    <cellStyle name="Normal 3 2 3 2 4" xfId="11710" xr:uid="{00000000-0005-0000-0000-00005A5A0000}"/>
    <cellStyle name="Normal 3 2 3 2 5" xfId="19665" xr:uid="{00000000-0005-0000-0000-00005B5A0000}"/>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3" xfId="24072" xr:uid="{00000000-0005-0000-0000-0000605A0000}"/>
    <cellStyle name="Normal 3 2 3 3 3" xfId="12588" xr:uid="{00000000-0005-0000-0000-0000615A0000}"/>
    <cellStyle name="Normal 3 2 3 3 4" xfId="20543" xr:uid="{00000000-0005-0000-0000-0000625A0000}"/>
    <cellStyle name="Normal 3 2 3 4" xfId="6393" xr:uid="{00000000-0005-0000-0000-0000635A0000}"/>
    <cellStyle name="Normal 3 2 3 4 2" xfId="14368" xr:uid="{00000000-0005-0000-0000-0000645A0000}"/>
    <cellStyle name="Normal 3 2 3 4 3" xfId="22315" xr:uid="{00000000-0005-0000-0000-0000655A0000}"/>
    <cellStyle name="Normal 3 2 3 5" xfId="9936" xr:uid="{00000000-0005-0000-0000-0000665A0000}"/>
    <cellStyle name="Normal 3 2 3 5 2" xfId="17894" xr:uid="{00000000-0005-0000-0000-0000675A0000}"/>
    <cellStyle name="Normal 3 2 3 5 3" xfId="25838" xr:uid="{00000000-0005-0000-0000-0000685A0000}"/>
    <cellStyle name="Normal 3 2 3 6" xfId="10832" xr:uid="{00000000-0005-0000-0000-0000695A0000}"/>
    <cellStyle name="Normal 3 2 3 7" xfId="18787" xr:uid="{00000000-0005-0000-0000-00006A5A0000}"/>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3" xfId="24734" xr:uid="{00000000-0005-0000-0000-0000705A0000}"/>
    <cellStyle name="Normal 3 2 4 2 3" xfId="13250" xr:uid="{00000000-0005-0000-0000-0000715A0000}"/>
    <cellStyle name="Normal 3 2 4 2 4" xfId="21205" xr:uid="{00000000-0005-0000-0000-0000725A0000}"/>
    <cellStyle name="Normal 3 2 4 3" xfId="7058" xr:uid="{00000000-0005-0000-0000-0000735A0000}"/>
    <cellStyle name="Normal 3 2 4 3 2" xfId="15030" xr:uid="{00000000-0005-0000-0000-0000745A0000}"/>
    <cellStyle name="Normal 3 2 4 3 3" xfId="22977" xr:uid="{00000000-0005-0000-0000-0000755A0000}"/>
    <cellStyle name="Normal 3 2 4 4" xfId="11494" xr:uid="{00000000-0005-0000-0000-0000765A0000}"/>
    <cellStyle name="Normal 3 2 4 5" xfId="19449" xr:uid="{00000000-0005-0000-0000-0000775A0000}"/>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3" xfId="23856" xr:uid="{00000000-0005-0000-0000-00007C5A0000}"/>
    <cellStyle name="Normal 3 2 5 3" xfId="12372" xr:uid="{00000000-0005-0000-0000-00007D5A0000}"/>
    <cellStyle name="Normal 3 2 5 4" xfId="20327" xr:uid="{00000000-0005-0000-0000-00007E5A0000}"/>
    <cellStyle name="Normal 3 2 6" xfId="6167" xr:uid="{00000000-0005-0000-0000-00007F5A0000}"/>
    <cellStyle name="Normal 3 2 6 2" xfId="14151" xr:uid="{00000000-0005-0000-0000-0000805A0000}"/>
    <cellStyle name="Normal 3 2 6 3" xfId="22099" xr:uid="{00000000-0005-0000-0000-0000815A0000}"/>
    <cellStyle name="Normal 3 2 7" xfId="9720" xr:uid="{00000000-0005-0000-0000-0000825A0000}"/>
    <cellStyle name="Normal 3 2 7 2" xfId="17678" xr:uid="{00000000-0005-0000-0000-0000835A0000}"/>
    <cellStyle name="Normal 3 2 7 3" xfId="25622" xr:uid="{00000000-0005-0000-0000-0000845A0000}"/>
    <cellStyle name="Normal 3 2 8" xfId="10616" xr:uid="{00000000-0005-0000-0000-0000855A0000}"/>
    <cellStyle name="Normal 3 2 9" xfId="18571" xr:uid="{00000000-0005-0000-0000-0000865A000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3" xfId="24736" xr:uid="{00000000-0005-0000-0000-00008D5A0000}"/>
    <cellStyle name="Normal 3 3 2 2 3" xfId="13252" xr:uid="{00000000-0005-0000-0000-00008E5A0000}"/>
    <cellStyle name="Normal 3 3 2 2 4" xfId="21207" xr:uid="{00000000-0005-0000-0000-00008F5A0000}"/>
    <cellStyle name="Normal 3 3 2 3" xfId="7060" xr:uid="{00000000-0005-0000-0000-0000905A0000}"/>
    <cellStyle name="Normal 3 3 2 3 2" xfId="15032" xr:uid="{00000000-0005-0000-0000-0000915A0000}"/>
    <cellStyle name="Normal 3 3 2 3 3" xfId="22979" xr:uid="{00000000-0005-0000-0000-0000925A0000}"/>
    <cellStyle name="Normal 3 3 2 4" xfId="11496" xr:uid="{00000000-0005-0000-0000-0000935A0000}"/>
    <cellStyle name="Normal 3 3 2 5" xfId="19451" xr:uid="{00000000-0005-0000-0000-0000945A00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3" xfId="23858" xr:uid="{00000000-0005-0000-0000-0000995A0000}"/>
    <cellStyle name="Normal 3 3 3 3" xfId="12374" xr:uid="{00000000-0005-0000-0000-00009A5A0000}"/>
    <cellStyle name="Normal 3 3 3 4" xfId="20329" xr:uid="{00000000-0005-0000-0000-00009B5A0000}"/>
    <cellStyle name="Normal 3 3 4" xfId="6169" xr:uid="{00000000-0005-0000-0000-00009C5A0000}"/>
    <cellStyle name="Normal 3 3 4 2" xfId="14153" xr:uid="{00000000-0005-0000-0000-00009D5A0000}"/>
    <cellStyle name="Normal 3 3 4 3" xfId="22101" xr:uid="{00000000-0005-0000-0000-00009E5A0000}"/>
    <cellStyle name="Normal 3 3 5" xfId="9722" xr:uid="{00000000-0005-0000-0000-00009F5A0000}"/>
    <cellStyle name="Normal 3 3 5 2" xfId="17680" xr:uid="{00000000-0005-0000-0000-0000A05A0000}"/>
    <cellStyle name="Normal 3 3 5 3" xfId="25624" xr:uid="{00000000-0005-0000-0000-0000A15A0000}"/>
    <cellStyle name="Normal 3 3 6" xfId="10618" xr:uid="{00000000-0005-0000-0000-0000A25A0000}"/>
    <cellStyle name="Normal 3 3 7" xfId="18573" xr:uid="{00000000-0005-0000-0000-0000A35A0000}"/>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3" xfId="24949" xr:uid="{00000000-0005-0000-0000-0000AA5A0000}"/>
    <cellStyle name="Normal 3 4 2 2 3" xfId="13465" xr:uid="{00000000-0005-0000-0000-0000AB5A0000}"/>
    <cellStyle name="Normal 3 4 2 2 4" xfId="21420" xr:uid="{00000000-0005-0000-0000-0000AC5A0000}"/>
    <cellStyle name="Normal 3 4 2 3" xfId="7273" xr:uid="{00000000-0005-0000-0000-0000AD5A0000}"/>
    <cellStyle name="Normal 3 4 2 3 2" xfId="15245" xr:uid="{00000000-0005-0000-0000-0000AE5A0000}"/>
    <cellStyle name="Normal 3 4 2 3 3" xfId="23192" xr:uid="{00000000-0005-0000-0000-0000AF5A0000}"/>
    <cellStyle name="Normal 3 4 2 4" xfId="11709" xr:uid="{00000000-0005-0000-0000-0000B05A0000}"/>
    <cellStyle name="Normal 3 4 2 5" xfId="19664" xr:uid="{00000000-0005-0000-0000-0000B15A0000}"/>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3" xfId="24071" xr:uid="{00000000-0005-0000-0000-0000B65A0000}"/>
    <cellStyle name="Normal 3 4 3 3" xfId="12587" xr:uid="{00000000-0005-0000-0000-0000B75A0000}"/>
    <cellStyle name="Normal 3 4 3 4" xfId="20542" xr:uid="{00000000-0005-0000-0000-0000B85A0000}"/>
    <cellStyle name="Normal 3 4 4" xfId="6392" xr:uid="{00000000-0005-0000-0000-0000B95A0000}"/>
    <cellStyle name="Normal 3 4 4 2" xfId="14367" xr:uid="{00000000-0005-0000-0000-0000BA5A0000}"/>
    <cellStyle name="Normal 3 4 4 3" xfId="22314" xr:uid="{00000000-0005-0000-0000-0000BB5A0000}"/>
    <cellStyle name="Normal 3 4 5" xfId="9935" xr:uid="{00000000-0005-0000-0000-0000BC5A0000}"/>
    <cellStyle name="Normal 3 4 5 2" xfId="17893" xr:uid="{00000000-0005-0000-0000-0000BD5A0000}"/>
    <cellStyle name="Normal 3 4 5 3" xfId="25837" xr:uid="{00000000-0005-0000-0000-0000BE5A0000}"/>
    <cellStyle name="Normal 3 4 6" xfId="10831" xr:uid="{00000000-0005-0000-0000-0000BF5A0000}"/>
    <cellStyle name="Normal 3 4 7" xfId="18786" xr:uid="{00000000-0005-0000-0000-0000C05A0000}"/>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3" xfId="24971" xr:uid="{00000000-0005-0000-0000-0000D85A0000}"/>
    <cellStyle name="Normal 37 3" xfId="13488" xr:uid="{00000000-0005-0000-0000-0000D95A0000}"/>
    <cellStyle name="Normal 37 4" xfId="21442" xr:uid="{00000000-0005-0000-0000-0000DA5A0000}"/>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3" xfId="25625" xr:uid="{00000000-0005-0000-0000-0000E75A0000}"/>
    <cellStyle name="Normal 4 2 12" xfId="10619" xr:uid="{00000000-0005-0000-0000-0000E85A0000}"/>
    <cellStyle name="Normal 4 2 13" xfId="18574" xr:uid="{00000000-0005-0000-0000-0000E95A0000}"/>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3" xfId="24738" xr:uid="{00000000-0005-0000-0000-0000EF5A0000}"/>
    <cellStyle name="Normal 4 2 2 2 2 3" xfId="13254" xr:uid="{00000000-0005-0000-0000-0000F05A0000}"/>
    <cellStyle name="Normal 4 2 2 2 2 4" xfId="21209" xr:uid="{00000000-0005-0000-0000-0000F15A0000}"/>
    <cellStyle name="Normal 4 2 2 2 3" xfId="7062" xr:uid="{00000000-0005-0000-0000-0000F25A0000}"/>
    <cellStyle name="Normal 4 2 2 2 3 2" xfId="15034" xr:uid="{00000000-0005-0000-0000-0000F35A0000}"/>
    <cellStyle name="Normal 4 2 2 2 3 3" xfId="22981" xr:uid="{00000000-0005-0000-0000-0000F45A0000}"/>
    <cellStyle name="Normal 4 2 2 2 4" xfId="11498" xr:uid="{00000000-0005-0000-0000-0000F55A0000}"/>
    <cellStyle name="Normal 4 2 2 2 5" xfId="19453" xr:uid="{00000000-0005-0000-0000-0000F65A0000}"/>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3" xfId="23860" xr:uid="{00000000-0005-0000-0000-0000FB5A0000}"/>
    <cellStyle name="Normal 4 2 2 3 3" xfId="12376" xr:uid="{00000000-0005-0000-0000-0000FC5A0000}"/>
    <cellStyle name="Normal 4 2 2 3 4" xfId="20331" xr:uid="{00000000-0005-0000-0000-0000FD5A0000}"/>
    <cellStyle name="Normal 4 2 2 4" xfId="6171" xr:uid="{00000000-0005-0000-0000-0000FE5A0000}"/>
    <cellStyle name="Normal 4 2 2 4 2" xfId="14155" xr:uid="{00000000-0005-0000-0000-0000FF5A0000}"/>
    <cellStyle name="Normal 4 2 2 4 3" xfId="22103" xr:uid="{00000000-0005-0000-0000-0000005B0000}"/>
    <cellStyle name="Normal 4 2 2 5" xfId="9724" xr:uid="{00000000-0005-0000-0000-0000015B0000}"/>
    <cellStyle name="Normal 4 2 2 5 2" xfId="17682" xr:uid="{00000000-0005-0000-0000-0000025B0000}"/>
    <cellStyle name="Normal 4 2 2 5 3" xfId="25626" xr:uid="{00000000-0005-0000-0000-0000035B0000}"/>
    <cellStyle name="Normal 4 2 2 6" xfId="10620" xr:uid="{00000000-0005-0000-0000-0000045B0000}"/>
    <cellStyle name="Normal 4 2 2 7" xfId="18575" xr:uid="{00000000-0005-0000-0000-0000055B0000}"/>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3" xfId="24952" xr:uid="{00000000-0005-0000-0000-00000C5B0000}"/>
    <cellStyle name="Normal 4 2 3 2 2 3" xfId="13468" xr:uid="{00000000-0005-0000-0000-00000D5B0000}"/>
    <cellStyle name="Normal 4 2 3 2 2 4" xfId="21423" xr:uid="{00000000-0005-0000-0000-00000E5B0000}"/>
    <cellStyle name="Normal 4 2 3 2 3" xfId="7276" xr:uid="{00000000-0005-0000-0000-00000F5B0000}"/>
    <cellStyle name="Normal 4 2 3 2 3 2" xfId="15248" xr:uid="{00000000-0005-0000-0000-0000105B0000}"/>
    <cellStyle name="Normal 4 2 3 2 3 3" xfId="23195" xr:uid="{00000000-0005-0000-0000-0000115B0000}"/>
    <cellStyle name="Normal 4 2 3 2 4" xfId="11712" xr:uid="{00000000-0005-0000-0000-0000125B0000}"/>
    <cellStyle name="Normal 4 2 3 2 5" xfId="19667" xr:uid="{00000000-0005-0000-0000-0000135B0000}"/>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3" xfId="24074" xr:uid="{00000000-0005-0000-0000-0000185B0000}"/>
    <cellStyle name="Normal 4 2 3 3 3" xfId="12590" xr:uid="{00000000-0005-0000-0000-0000195B0000}"/>
    <cellStyle name="Normal 4 2 3 3 4" xfId="20545" xr:uid="{00000000-0005-0000-0000-00001A5B0000}"/>
    <cellStyle name="Normal 4 2 3 4" xfId="6395" xr:uid="{00000000-0005-0000-0000-00001B5B0000}"/>
    <cellStyle name="Normal 4 2 3 4 2" xfId="14370" xr:uid="{00000000-0005-0000-0000-00001C5B0000}"/>
    <cellStyle name="Normal 4 2 3 4 3" xfId="22317" xr:uid="{00000000-0005-0000-0000-00001D5B0000}"/>
    <cellStyle name="Normal 4 2 3 5" xfId="9938" xr:uid="{00000000-0005-0000-0000-00001E5B0000}"/>
    <cellStyle name="Normal 4 2 3 5 2" xfId="17896" xr:uid="{00000000-0005-0000-0000-00001F5B0000}"/>
    <cellStyle name="Normal 4 2 3 5 3" xfId="25840" xr:uid="{00000000-0005-0000-0000-0000205B0000}"/>
    <cellStyle name="Normal 4 2 3 6" xfId="10834" xr:uid="{00000000-0005-0000-0000-0000215B0000}"/>
    <cellStyle name="Normal 4 2 3 7" xfId="18789" xr:uid="{00000000-0005-0000-0000-0000225B0000}"/>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3" xfId="24737" xr:uid="{00000000-0005-0000-0000-0000285B0000}"/>
    <cellStyle name="Normal 4 2 4 2 3" xfId="13253" xr:uid="{00000000-0005-0000-0000-0000295B0000}"/>
    <cellStyle name="Normal 4 2 4 2 4" xfId="21208" xr:uid="{00000000-0005-0000-0000-00002A5B0000}"/>
    <cellStyle name="Normal 4 2 4 3" xfId="7061" xr:uid="{00000000-0005-0000-0000-00002B5B0000}"/>
    <cellStyle name="Normal 4 2 4 3 2" xfId="15033" xr:uid="{00000000-0005-0000-0000-00002C5B0000}"/>
    <cellStyle name="Normal 4 2 4 3 3" xfId="22980" xr:uid="{00000000-0005-0000-0000-00002D5B0000}"/>
    <cellStyle name="Normal 4 2 4 4" xfId="11497" xr:uid="{00000000-0005-0000-0000-00002E5B0000}"/>
    <cellStyle name="Normal 4 2 4 5" xfId="19452" xr:uid="{00000000-0005-0000-0000-00002F5B0000}"/>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3" xfId="23859" xr:uid="{00000000-0005-0000-0000-0000345B0000}"/>
    <cellStyle name="Normal 4 2 5 3" xfId="12375" xr:uid="{00000000-0005-0000-0000-0000355B0000}"/>
    <cellStyle name="Normal 4 2 5 4" xfId="20330" xr:uid="{00000000-0005-0000-0000-0000365B0000}"/>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3" xfId="22102" xr:uid="{00000000-0005-0000-0000-00003B5B0000}"/>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3" xfId="24739" xr:uid="{00000000-0005-0000-0000-0000435B0000}"/>
    <cellStyle name="Normal 4 3 2 2 3" xfId="13255" xr:uid="{00000000-0005-0000-0000-0000445B0000}"/>
    <cellStyle name="Normal 4 3 2 2 4" xfId="21210" xr:uid="{00000000-0005-0000-0000-0000455B0000}"/>
    <cellStyle name="Normal 4 3 2 3" xfId="7063" xr:uid="{00000000-0005-0000-0000-0000465B0000}"/>
    <cellStyle name="Normal 4 3 2 3 2" xfId="15035" xr:uid="{00000000-0005-0000-0000-0000475B0000}"/>
    <cellStyle name="Normal 4 3 2 3 3" xfId="22982" xr:uid="{00000000-0005-0000-0000-0000485B0000}"/>
    <cellStyle name="Normal 4 3 2 4" xfId="11499" xr:uid="{00000000-0005-0000-0000-0000495B0000}"/>
    <cellStyle name="Normal 4 3 2 5" xfId="19454" xr:uid="{00000000-0005-0000-0000-00004A5B0000}"/>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3" xfId="23861" xr:uid="{00000000-0005-0000-0000-00004F5B0000}"/>
    <cellStyle name="Normal 4 3 3 3" xfId="12377" xr:uid="{00000000-0005-0000-0000-0000505B0000}"/>
    <cellStyle name="Normal 4 3 3 4" xfId="20332" xr:uid="{00000000-0005-0000-0000-0000515B0000}"/>
    <cellStyle name="Normal 4 3 4" xfId="6172" xr:uid="{00000000-0005-0000-0000-0000525B0000}"/>
    <cellStyle name="Normal 4 3 4 2" xfId="14156" xr:uid="{00000000-0005-0000-0000-0000535B0000}"/>
    <cellStyle name="Normal 4 3 4 3" xfId="22104" xr:uid="{00000000-0005-0000-0000-0000545B0000}"/>
    <cellStyle name="Normal 4 3 5" xfId="9725" xr:uid="{00000000-0005-0000-0000-0000555B0000}"/>
    <cellStyle name="Normal 4 3 5 2" xfId="17683" xr:uid="{00000000-0005-0000-0000-0000565B0000}"/>
    <cellStyle name="Normal 4 3 5 3" xfId="25627" xr:uid="{00000000-0005-0000-0000-0000575B0000}"/>
    <cellStyle name="Normal 4 3 6" xfId="10621" xr:uid="{00000000-0005-0000-0000-0000585B0000}"/>
    <cellStyle name="Normal 4 3 7" xfId="18576" xr:uid="{00000000-0005-0000-0000-0000595B0000}"/>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3" xfId="24951" xr:uid="{00000000-0005-0000-0000-0000605B0000}"/>
    <cellStyle name="Normal 4 4 2 2 3" xfId="13467" xr:uid="{00000000-0005-0000-0000-0000615B0000}"/>
    <cellStyle name="Normal 4 4 2 2 4" xfId="21422" xr:uid="{00000000-0005-0000-0000-0000625B0000}"/>
    <cellStyle name="Normal 4 4 2 3" xfId="7275" xr:uid="{00000000-0005-0000-0000-0000635B0000}"/>
    <cellStyle name="Normal 4 4 2 3 2" xfId="15247" xr:uid="{00000000-0005-0000-0000-0000645B0000}"/>
    <cellStyle name="Normal 4 4 2 3 3" xfId="23194" xr:uid="{00000000-0005-0000-0000-0000655B0000}"/>
    <cellStyle name="Normal 4 4 2 4" xfId="11711" xr:uid="{00000000-0005-0000-0000-0000665B0000}"/>
    <cellStyle name="Normal 4 4 2 5" xfId="19666" xr:uid="{00000000-0005-0000-0000-0000675B0000}"/>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3" xfId="24073" xr:uid="{00000000-0005-0000-0000-00006C5B0000}"/>
    <cellStyle name="Normal 4 4 3 3" xfId="12589" xr:uid="{00000000-0005-0000-0000-00006D5B0000}"/>
    <cellStyle name="Normal 4 4 3 4" xfId="20544" xr:uid="{00000000-0005-0000-0000-00006E5B0000}"/>
    <cellStyle name="Normal 4 4 4" xfId="6394" xr:uid="{00000000-0005-0000-0000-00006F5B0000}"/>
    <cellStyle name="Normal 4 4 4 2" xfId="14369" xr:uid="{00000000-0005-0000-0000-0000705B0000}"/>
    <cellStyle name="Normal 4 4 4 3" xfId="22316" xr:uid="{00000000-0005-0000-0000-0000715B0000}"/>
    <cellStyle name="Normal 4 4 5" xfId="9937" xr:uid="{00000000-0005-0000-0000-0000725B0000}"/>
    <cellStyle name="Normal 4 4 5 2" xfId="17895" xr:uid="{00000000-0005-0000-0000-0000735B0000}"/>
    <cellStyle name="Normal 4 4 5 3" xfId="25839" xr:uid="{00000000-0005-0000-0000-0000745B0000}"/>
    <cellStyle name="Normal 4 4 6" xfId="10833" xr:uid="{00000000-0005-0000-0000-0000755B0000}"/>
    <cellStyle name="Normal 4 4 7" xfId="18788" xr:uid="{00000000-0005-0000-0000-0000765B0000}"/>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3" xfId="25854" xr:uid="{00000000-0005-0000-0000-00008E5B0000}"/>
    <cellStyle name="Normal 48" xfId="9954" xr:uid="{00000000-0005-0000-0000-00008F5B0000}"/>
    <cellStyle name="Normal 48 2" xfId="17912" xr:uid="{00000000-0005-0000-0000-0000905B0000}"/>
    <cellStyle name="Normal 48 3" xfId="25856" xr:uid="{00000000-0005-0000-0000-0000915B0000}"/>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3" xfId="25693" xr:uid="{00000000-0005-0000-0000-0000975B0000}"/>
    <cellStyle name="Normal 5 2 11" xfId="10687" xr:uid="{00000000-0005-0000-0000-0000985B0000}"/>
    <cellStyle name="Normal 5 2 12" xfId="18642" xr:uid="{00000000-0005-0000-0000-0000995B0000}"/>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3" xfId="24954" xr:uid="{00000000-0005-0000-0000-00009F5B0000}"/>
    <cellStyle name="Normal 5 2 2 2 2 3" xfId="13470" xr:uid="{00000000-0005-0000-0000-0000A05B0000}"/>
    <cellStyle name="Normal 5 2 2 2 2 4" xfId="21425" xr:uid="{00000000-0005-0000-0000-0000A15B0000}"/>
    <cellStyle name="Normal 5 2 2 2 3" xfId="7278" xr:uid="{00000000-0005-0000-0000-0000A25B0000}"/>
    <cellStyle name="Normal 5 2 2 2 3 2" xfId="15250" xr:uid="{00000000-0005-0000-0000-0000A35B0000}"/>
    <cellStyle name="Normal 5 2 2 2 3 3" xfId="23197" xr:uid="{00000000-0005-0000-0000-0000A45B0000}"/>
    <cellStyle name="Normal 5 2 2 2 4" xfId="11714" xr:uid="{00000000-0005-0000-0000-0000A55B0000}"/>
    <cellStyle name="Normal 5 2 2 2 5" xfId="19669" xr:uid="{00000000-0005-0000-0000-0000A65B000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3" xfId="24076" xr:uid="{00000000-0005-0000-0000-0000AB5B0000}"/>
    <cellStyle name="Normal 5 2 2 3 3" xfId="12592" xr:uid="{00000000-0005-0000-0000-0000AC5B0000}"/>
    <cellStyle name="Normal 5 2 2 3 4" xfId="20547" xr:uid="{00000000-0005-0000-0000-0000AD5B0000}"/>
    <cellStyle name="Normal 5 2 2 4" xfId="6397" xr:uid="{00000000-0005-0000-0000-0000AE5B0000}"/>
    <cellStyle name="Normal 5 2 2 4 2" xfId="14372" xr:uid="{00000000-0005-0000-0000-0000AF5B0000}"/>
    <cellStyle name="Normal 5 2 2 4 3" xfId="22319" xr:uid="{00000000-0005-0000-0000-0000B05B0000}"/>
    <cellStyle name="Normal 5 2 2 5" xfId="9940" xr:uid="{00000000-0005-0000-0000-0000B15B0000}"/>
    <cellStyle name="Normal 5 2 2 5 2" xfId="17898" xr:uid="{00000000-0005-0000-0000-0000B25B0000}"/>
    <cellStyle name="Normal 5 2 2 5 3" xfId="25842" xr:uid="{00000000-0005-0000-0000-0000B35B0000}"/>
    <cellStyle name="Normal 5 2 2 6" xfId="10836" xr:uid="{00000000-0005-0000-0000-0000B45B0000}"/>
    <cellStyle name="Normal 5 2 2 7" xfId="18791" xr:uid="{00000000-0005-0000-0000-0000B55B0000}"/>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3" xfId="24805" xr:uid="{00000000-0005-0000-0000-0000BB5B0000}"/>
    <cellStyle name="Normal 5 2 3 2 3" xfId="13321" xr:uid="{00000000-0005-0000-0000-0000BC5B0000}"/>
    <cellStyle name="Normal 5 2 3 2 4" xfId="21276" xr:uid="{00000000-0005-0000-0000-0000BD5B0000}"/>
    <cellStyle name="Normal 5 2 3 3" xfId="7129" xr:uid="{00000000-0005-0000-0000-0000BE5B0000}"/>
    <cellStyle name="Normal 5 2 3 3 2" xfId="15101" xr:uid="{00000000-0005-0000-0000-0000BF5B0000}"/>
    <cellStyle name="Normal 5 2 3 3 3" xfId="23048" xr:uid="{00000000-0005-0000-0000-0000C05B0000}"/>
    <cellStyle name="Normal 5 2 3 4" xfId="11565" xr:uid="{00000000-0005-0000-0000-0000C15B0000}"/>
    <cellStyle name="Normal 5 2 3 5" xfId="19520" xr:uid="{00000000-0005-0000-0000-0000C25B0000}"/>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3" xfId="23927" xr:uid="{00000000-0005-0000-0000-0000C75B0000}"/>
    <cellStyle name="Normal 5 2 4 3" xfId="12443" xr:uid="{00000000-0005-0000-0000-0000C85B0000}"/>
    <cellStyle name="Normal 5 2 4 4" xfId="20398" xr:uid="{00000000-0005-0000-0000-0000C95B0000}"/>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3" xfId="22170" xr:uid="{00000000-0005-0000-0000-0000D05B0000}"/>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3" xfId="24953" xr:uid="{00000000-0005-0000-0000-0000D95B0000}"/>
    <cellStyle name="Normal 5 3 2 2 3" xfId="13469" xr:uid="{00000000-0005-0000-0000-0000DA5B0000}"/>
    <cellStyle name="Normal 5 3 2 2 4" xfId="21424" xr:uid="{00000000-0005-0000-0000-0000DB5B0000}"/>
    <cellStyle name="Normal 5 3 2 3" xfId="7277" xr:uid="{00000000-0005-0000-0000-0000DC5B0000}"/>
    <cellStyle name="Normal 5 3 2 3 2" xfId="15249" xr:uid="{00000000-0005-0000-0000-0000DD5B0000}"/>
    <cellStyle name="Normal 5 3 2 3 3" xfId="23196" xr:uid="{00000000-0005-0000-0000-0000DE5B0000}"/>
    <cellStyle name="Normal 5 3 2 4" xfId="11713" xr:uid="{00000000-0005-0000-0000-0000DF5B0000}"/>
    <cellStyle name="Normal 5 3 2 5" xfId="19668" xr:uid="{00000000-0005-0000-0000-0000E05B0000}"/>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3" xfId="24075" xr:uid="{00000000-0005-0000-0000-0000E55B0000}"/>
    <cellStyle name="Normal 5 3 3 3" xfId="12591" xr:uid="{00000000-0005-0000-0000-0000E65B0000}"/>
    <cellStyle name="Normal 5 3 3 4" xfId="20546" xr:uid="{00000000-0005-0000-0000-0000E75B0000}"/>
    <cellStyle name="Normal 5 3 4" xfId="6396" xr:uid="{00000000-0005-0000-0000-0000E85B0000}"/>
    <cellStyle name="Normal 5 3 4 2" xfId="14371" xr:uid="{00000000-0005-0000-0000-0000E95B0000}"/>
    <cellStyle name="Normal 5 3 4 3" xfId="22318" xr:uid="{00000000-0005-0000-0000-0000EA5B0000}"/>
    <cellStyle name="Normal 5 3 5" xfId="9939" xr:uid="{00000000-0005-0000-0000-0000EB5B0000}"/>
    <cellStyle name="Normal 5 3 5 2" xfId="17897" xr:uid="{00000000-0005-0000-0000-0000EC5B0000}"/>
    <cellStyle name="Normal 5 3 5 3" xfId="25841" xr:uid="{00000000-0005-0000-0000-0000ED5B0000}"/>
    <cellStyle name="Normal 5 3 6" xfId="10835" xr:uid="{00000000-0005-0000-0000-0000EE5B0000}"/>
    <cellStyle name="Normal 5 3 7" xfId="18790" xr:uid="{00000000-0005-0000-0000-0000EF5B0000}"/>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3" xfId="25860" xr:uid="{00000000-0005-0000-0000-0000075C0000}"/>
    <cellStyle name="Normal 58" xfId="9967" xr:uid="{00000000-0005-0000-0000-0000085C0000}"/>
    <cellStyle name="Normal 59" xfId="25863" xr:uid="{00000000-0005-0000-0000-0000095C0000}"/>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3" xfId="24741" xr:uid="{00000000-0005-0000-0000-0000115C0000}"/>
    <cellStyle name="Normal 6 2 2 2 2 3" xfId="13257" xr:uid="{00000000-0005-0000-0000-0000125C0000}"/>
    <cellStyle name="Normal 6 2 2 2 2 4" xfId="21212" xr:uid="{00000000-0005-0000-0000-0000135C0000}"/>
    <cellStyle name="Normal 6 2 2 2 3" xfId="7065" xr:uid="{00000000-0005-0000-0000-0000145C0000}"/>
    <cellStyle name="Normal 6 2 2 2 3 2" xfId="15037" xr:uid="{00000000-0005-0000-0000-0000155C0000}"/>
    <cellStyle name="Normal 6 2 2 2 3 3" xfId="22984" xr:uid="{00000000-0005-0000-0000-0000165C0000}"/>
    <cellStyle name="Normal 6 2 2 2 4" xfId="11501" xr:uid="{00000000-0005-0000-0000-0000175C0000}"/>
    <cellStyle name="Normal 6 2 2 2 5" xfId="19456" xr:uid="{00000000-0005-0000-0000-0000185C0000}"/>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3" xfId="23863" xr:uid="{00000000-0005-0000-0000-00001D5C0000}"/>
    <cellStyle name="Normal 6 2 2 3 3" xfId="12379" xr:uid="{00000000-0005-0000-0000-00001E5C0000}"/>
    <cellStyle name="Normal 6 2 2 3 4" xfId="20334" xr:uid="{00000000-0005-0000-0000-00001F5C0000}"/>
    <cellStyle name="Normal 6 2 2 4" xfId="6174" xr:uid="{00000000-0005-0000-0000-0000205C0000}"/>
    <cellStyle name="Normal 6 2 2 4 2" xfId="14158" xr:uid="{00000000-0005-0000-0000-0000215C0000}"/>
    <cellStyle name="Normal 6 2 2 4 3" xfId="22106" xr:uid="{00000000-0005-0000-0000-0000225C0000}"/>
    <cellStyle name="Normal 6 2 2 5" xfId="9727" xr:uid="{00000000-0005-0000-0000-0000235C0000}"/>
    <cellStyle name="Normal 6 2 2 5 2" xfId="17685" xr:uid="{00000000-0005-0000-0000-0000245C0000}"/>
    <cellStyle name="Normal 6 2 2 5 3" xfId="25629" xr:uid="{00000000-0005-0000-0000-0000255C0000}"/>
    <cellStyle name="Normal 6 2 2 6" xfId="10623" xr:uid="{00000000-0005-0000-0000-0000265C0000}"/>
    <cellStyle name="Normal 6 2 2 7" xfId="18578" xr:uid="{00000000-0005-0000-0000-0000275C0000}"/>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3" xfId="24740" xr:uid="{00000000-0005-0000-0000-00002D5C0000}"/>
    <cellStyle name="Normal 6 2 3 2 3" xfId="13256" xr:uid="{00000000-0005-0000-0000-00002E5C0000}"/>
    <cellStyle name="Normal 6 2 3 2 4" xfId="21211" xr:uid="{00000000-0005-0000-0000-00002F5C0000}"/>
    <cellStyle name="Normal 6 2 3 3" xfId="7064" xr:uid="{00000000-0005-0000-0000-0000305C0000}"/>
    <cellStyle name="Normal 6 2 3 3 2" xfId="15036" xr:uid="{00000000-0005-0000-0000-0000315C0000}"/>
    <cellStyle name="Normal 6 2 3 3 3" xfId="22983" xr:uid="{00000000-0005-0000-0000-0000325C0000}"/>
    <cellStyle name="Normal 6 2 3 4" xfId="11500" xr:uid="{00000000-0005-0000-0000-0000335C0000}"/>
    <cellStyle name="Normal 6 2 3 5" xfId="19455" xr:uid="{00000000-0005-0000-0000-0000345C0000}"/>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3" xfId="23862" xr:uid="{00000000-0005-0000-0000-0000395C0000}"/>
    <cellStyle name="Normal 6 2 4 3" xfId="12378" xr:uid="{00000000-0005-0000-0000-00003A5C0000}"/>
    <cellStyle name="Normal 6 2 4 4" xfId="20333" xr:uid="{00000000-0005-0000-0000-00003B5C0000}"/>
    <cellStyle name="Normal 6 2 5" xfId="6173" xr:uid="{00000000-0005-0000-0000-00003C5C0000}"/>
    <cellStyle name="Normal 6 2 5 2" xfId="14157" xr:uid="{00000000-0005-0000-0000-00003D5C0000}"/>
    <cellStyle name="Normal 6 2 5 3" xfId="22105" xr:uid="{00000000-0005-0000-0000-00003E5C0000}"/>
    <cellStyle name="Normal 6 2 6" xfId="9726" xr:uid="{00000000-0005-0000-0000-00003F5C0000}"/>
    <cellStyle name="Normal 6 2 6 2" xfId="17684" xr:uid="{00000000-0005-0000-0000-0000405C0000}"/>
    <cellStyle name="Normal 6 2 6 3" xfId="25628" xr:uid="{00000000-0005-0000-0000-0000415C0000}"/>
    <cellStyle name="Normal 6 2 7" xfId="10622" xr:uid="{00000000-0005-0000-0000-0000425C0000}"/>
    <cellStyle name="Normal 6 2 8" xfId="18577" xr:uid="{00000000-0005-0000-0000-0000435C0000}"/>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3" xfId="24742" xr:uid="{00000000-0005-0000-0000-00004A5C0000}"/>
    <cellStyle name="Normal 6 3 2 2 3" xfId="13258" xr:uid="{00000000-0005-0000-0000-00004B5C0000}"/>
    <cellStyle name="Normal 6 3 2 2 4" xfId="21213" xr:uid="{00000000-0005-0000-0000-00004C5C0000}"/>
    <cellStyle name="Normal 6 3 2 3" xfId="7066" xr:uid="{00000000-0005-0000-0000-00004D5C0000}"/>
    <cellStyle name="Normal 6 3 2 3 2" xfId="15038" xr:uid="{00000000-0005-0000-0000-00004E5C0000}"/>
    <cellStyle name="Normal 6 3 2 3 3" xfId="22985" xr:uid="{00000000-0005-0000-0000-00004F5C0000}"/>
    <cellStyle name="Normal 6 3 2 4" xfId="11502" xr:uid="{00000000-0005-0000-0000-0000505C0000}"/>
    <cellStyle name="Normal 6 3 2 5" xfId="19457" xr:uid="{00000000-0005-0000-0000-0000515C0000}"/>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3" xfId="23864" xr:uid="{00000000-0005-0000-0000-0000565C0000}"/>
    <cellStyle name="Normal 6 3 3 3" xfId="12380" xr:uid="{00000000-0005-0000-0000-0000575C0000}"/>
    <cellStyle name="Normal 6 3 3 4" xfId="20335" xr:uid="{00000000-0005-0000-0000-0000585C0000}"/>
    <cellStyle name="Normal 6 3 4" xfId="6175" xr:uid="{00000000-0005-0000-0000-0000595C0000}"/>
    <cellStyle name="Normal 6 3 4 2" xfId="14159" xr:uid="{00000000-0005-0000-0000-00005A5C0000}"/>
    <cellStyle name="Normal 6 3 4 3" xfId="22107" xr:uid="{00000000-0005-0000-0000-00005B5C0000}"/>
    <cellStyle name="Normal 6 3 5" xfId="9728" xr:uid="{00000000-0005-0000-0000-00005C5C0000}"/>
    <cellStyle name="Normal 6 3 5 2" xfId="17686" xr:uid="{00000000-0005-0000-0000-00005D5C0000}"/>
    <cellStyle name="Normal 6 3 5 3" xfId="25630" xr:uid="{00000000-0005-0000-0000-00005E5C0000}"/>
    <cellStyle name="Normal 6 3 6" xfId="10624" xr:uid="{00000000-0005-0000-0000-00005F5C0000}"/>
    <cellStyle name="Normal 6 3 7" xfId="18579" xr:uid="{00000000-0005-0000-0000-0000605C0000}"/>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3" xfId="24744" xr:uid="{00000000-0005-0000-0000-00006A5C0000}"/>
    <cellStyle name="Normal 7 2 2 2 2 3" xfId="13260" xr:uid="{00000000-0005-0000-0000-00006B5C0000}"/>
    <cellStyle name="Normal 7 2 2 2 2 4" xfId="21215" xr:uid="{00000000-0005-0000-0000-00006C5C0000}"/>
    <cellStyle name="Normal 7 2 2 2 3" xfId="7068" xr:uid="{00000000-0005-0000-0000-00006D5C0000}"/>
    <cellStyle name="Normal 7 2 2 2 3 2" xfId="15040" xr:uid="{00000000-0005-0000-0000-00006E5C0000}"/>
    <cellStyle name="Normal 7 2 2 2 3 3" xfId="22987" xr:uid="{00000000-0005-0000-0000-00006F5C0000}"/>
    <cellStyle name="Normal 7 2 2 2 4" xfId="11504" xr:uid="{00000000-0005-0000-0000-0000705C0000}"/>
    <cellStyle name="Normal 7 2 2 2 5" xfId="19459" xr:uid="{00000000-0005-0000-0000-0000715C0000}"/>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3" xfId="23866" xr:uid="{00000000-0005-0000-0000-0000765C0000}"/>
    <cellStyle name="Normal 7 2 2 3 3" xfId="12382" xr:uid="{00000000-0005-0000-0000-0000775C0000}"/>
    <cellStyle name="Normal 7 2 2 3 4" xfId="20337" xr:uid="{00000000-0005-0000-0000-0000785C0000}"/>
    <cellStyle name="Normal 7 2 2 4" xfId="6177" xr:uid="{00000000-0005-0000-0000-0000795C0000}"/>
    <cellStyle name="Normal 7 2 2 4 2" xfId="14161" xr:uid="{00000000-0005-0000-0000-00007A5C0000}"/>
    <cellStyle name="Normal 7 2 2 4 3" xfId="22109" xr:uid="{00000000-0005-0000-0000-00007B5C0000}"/>
    <cellStyle name="Normal 7 2 2 5" xfId="9730" xr:uid="{00000000-0005-0000-0000-00007C5C0000}"/>
    <cellStyle name="Normal 7 2 2 5 2" xfId="17688" xr:uid="{00000000-0005-0000-0000-00007D5C0000}"/>
    <cellStyle name="Normal 7 2 2 5 3" xfId="25632" xr:uid="{00000000-0005-0000-0000-00007E5C0000}"/>
    <cellStyle name="Normal 7 2 2 6" xfId="10626" xr:uid="{00000000-0005-0000-0000-00007F5C0000}"/>
    <cellStyle name="Normal 7 2 2 7" xfId="18581" xr:uid="{00000000-0005-0000-0000-0000805C0000}"/>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3" xfId="24743" xr:uid="{00000000-0005-0000-0000-0000865C0000}"/>
    <cellStyle name="Normal 7 2 3 2 3" xfId="13259" xr:uid="{00000000-0005-0000-0000-0000875C0000}"/>
    <cellStyle name="Normal 7 2 3 2 4" xfId="21214" xr:uid="{00000000-0005-0000-0000-0000885C0000}"/>
    <cellStyle name="Normal 7 2 3 3" xfId="7067" xr:uid="{00000000-0005-0000-0000-0000895C0000}"/>
    <cellStyle name="Normal 7 2 3 3 2" xfId="15039" xr:uid="{00000000-0005-0000-0000-00008A5C0000}"/>
    <cellStyle name="Normal 7 2 3 3 3" xfId="22986" xr:uid="{00000000-0005-0000-0000-00008B5C0000}"/>
    <cellStyle name="Normal 7 2 3 4" xfId="11503" xr:uid="{00000000-0005-0000-0000-00008C5C0000}"/>
    <cellStyle name="Normal 7 2 3 5" xfId="19458" xr:uid="{00000000-0005-0000-0000-00008D5C0000}"/>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3" xfId="23865" xr:uid="{00000000-0005-0000-0000-0000925C0000}"/>
    <cellStyle name="Normal 7 2 4 3" xfId="12381" xr:uid="{00000000-0005-0000-0000-0000935C0000}"/>
    <cellStyle name="Normal 7 2 4 4" xfId="20336" xr:uid="{00000000-0005-0000-0000-0000945C0000}"/>
    <cellStyle name="Normal 7 2 5" xfId="6176" xr:uid="{00000000-0005-0000-0000-0000955C0000}"/>
    <cellStyle name="Normal 7 2 5 2" xfId="14160" xr:uid="{00000000-0005-0000-0000-0000965C0000}"/>
    <cellStyle name="Normal 7 2 5 3" xfId="22108" xr:uid="{00000000-0005-0000-0000-0000975C0000}"/>
    <cellStyle name="Normal 7 2 6" xfId="9729" xr:uid="{00000000-0005-0000-0000-0000985C0000}"/>
    <cellStyle name="Normal 7 2 6 2" xfId="17687" xr:uid="{00000000-0005-0000-0000-0000995C0000}"/>
    <cellStyle name="Normal 7 2 6 3" xfId="25631" xr:uid="{00000000-0005-0000-0000-00009A5C0000}"/>
    <cellStyle name="Normal 7 2 7" xfId="10625" xr:uid="{00000000-0005-0000-0000-00009B5C0000}"/>
    <cellStyle name="Normal 7 2 8" xfId="18580" xr:uid="{00000000-0005-0000-0000-00009C5C0000}"/>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3" xfId="24745" xr:uid="{00000000-0005-0000-0000-0000A35C0000}"/>
    <cellStyle name="Normal 7 3 2 2 3" xfId="13261" xr:uid="{00000000-0005-0000-0000-0000A45C0000}"/>
    <cellStyle name="Normal 7 3 2 2 4" xfId="21216" xr:uid="{00000000-0005-0000-0000-0000A55C0000}"/>
    <cellStyle name="Normal 7 3 2 3" xfId="7069" xr:uid="{00000000-0005-0000-0000-0000A65C0000}"/>
    <cellStyle name="Normal 7 3 2 3 2" xfId="15041" xr:uid="{00000000-0005-0000-0000-0000A75C0000}"/>
    <cellStyle name="Normal 7 3 2 3 3" xfId="22988" xr:uid="{00000000-0005-0000-0000-0000A85C0000}"/>
    <cellStyle name="Normal 7 3 2 4" xfId="11505" xr:uid="{00000000-0005-0000-0000-0000A95C0000}"/>
    <cellStyle name="Normal 7 3 2 5" xfId="19460" xr:uid="{00000000-0005-0000-0000-0000AA5C0000}"/>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3" xfId="23867" xr:uid="{00000000-0005-0000-0000-0000AF5C0000}"/>
    <cellStyle name="Normal 7 3 3 3" xfId="12383" xr:uid="{00000000-0005-0000-0000-0000B05C0000}"/>
    <cellStyle name="Normal 7 3 3 4" xfId="20338" xr:uid="{00000000-0005-0000-0000-0000B15C0000}"/>
    <cellStyle name="Normal 7 3 4" xfId="6178" xr:uid="{00000000-0005-0000-0000-0000B25C0000}"/>
    <cellStyle name="Normal 7 3 4 2" xfId="14162" xr:uid="{00000000-0005-0000-0000-0000B35C0000}"/>
    <cellStyle name="Normal 7 3 4 3" xfId="22110" xr:uid="{00000000-0005-0000-0000-0000B45C0000}"/>
    <cellStyle name="Normal 7 3 5" xfId="9731" xr:uid="{00000000-0005-0000-0000-0000B55C0000}"/>
    <cellStyle name="Normal 7 3 5 2" xfId="17689" xr:uid="{00000000-0005-0000-0000-0000B65C0000}"/>
    <cellStyle name="Normal 7 3 5 3" xfId="25633" xr:uid="{00000000-0005-0000-0000-0000B75C0000}"/>
    <cellStyle name="Normal 7 3 6" xfId="10627" xr:uid="{00000000-0005-0000-0000-0000B85C0000}"/>
    <cellStyle name="Normal 7 3 7" xfId="18582" xr:uid="{00000000-0005-0000-0000-0000B95C0000}"/>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3" xfId="24747" xr:uid="{00000000-0005-0000-0000-0000C45C0000}"/>
    <cellStyle name="Normal 8 2 2 2 2 3" xfId="13263" xr:uid="{00000000-0005-0000-0000-0000C55C0000}"/>
    <cellStyle name="Normal 8 2 2 2 2 4" xfId="21218" xr:uid="{00000000-0005-0000-0000-0000C65C0000}"/>
    <cellStyle name="Normal 8 2 2 2 3" xfId="7071" xr:uid="{00000000-0005-0000-0000-0000C75C0000}"/>
    <cellStyle name="Normal 8 2 2 2 3 2" xfId="15043" xr:uid="{00000000-0005-0000-0000-0000C85C0000}"/>
    <cellStyle name="Normal 8 2 2 2 3 3" xfId="22990" xr:uid="{00000000-0005-0000-0000-0000C95C0000}"/>
    <cellStyle name="Normal 8 2 2 2 4" xfId="11507" xr:uid="{00000000-0005-0000-0000-0000CA5C0000}"/>
    <cellStyle name="Normal 8 2 2 2 5" xfId="19462" xr:uid="{00000000-0005-0000-0000-0000CB5C0000}"/>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3" xfId="23869" xr:uid="{00000000-0005-0000-0000-0000D05C0000}"/>
    <cellStyle name="Normal 8 2 2 3 3" xfId="12385" xr:uid="{00000000-0005-0000-0000-0000D15C0000}"/>
    <cellStyle name="Normal 8 2 2 3 4" xfId="20340" xr:uid="{00000000-0005-0000-0000-0000D25C0000}"/>
    <cellStyle name="Normal 8 2 2 4" xfId="6180" xr:uid="{00000000-0005-0000-0000-0000D35C0000}"/>
    <cellStyle name="Normal 8 2 2 4 2" xfId="14164" xr:uid="{00000000-0005-0000-0000-0000D45C0000}"/>
    <cellStyle name="Normal 8 2 2 4 3" xfId="22112" xr:uid="{00000000-0005-0000-0000-0000D55C0000}"/>
    <cellStyle name="Normal 8 2 2 5" xfId="9733" xr:uid="{00000000-0005-0000-0000-0000D65C0000}"/>
    <cellStyle name="Normal 8 2 2 5 2" xfId="17691" xr:uid="{00000000-0005-0000-0000-0000D75C0000}"/>
    <cellStyle name="Normal 8 2 2 5 3" xfId="25635" xr:uid="{00000000-0005-0000-0000-0000D85C0000}"/>
    <cellStyle name="Normal 8 2 2 6" xfId="10629" xr:uid="{00000000-0005-0000-0000-0000D95C0000}"/>
    <cellStyle name="Normal 8 2 2 7" xfId="18584" xr:uid="{00000000-0005-0000-0000-0000DA5C0000}"/>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3" xfId="24746" xr:uid="{00000000-0005-0000-0000-0000E05C0000}"/>
    <cellStyle name="Normal 8 2 3 2 3" xfId="13262" xr:uid="{00000000-0005-0000-0000-0000E15C0000}"/>
    <cellStyle name="Normal 8 2 3 2 4" xfId="21217" xr:uid="{00000000-0005-0000-0000-0000E25C0000}"/>
    <cellStyle name="Normal 8 2 3 3" xfId="7070" xr:uid="{00000000-0005-0000-0000-0000E35C0000}"/>
    <cellStyle name="Normal 8 2 3 3 2" xfId="15042" xr:uid="{00000000-0005-0000-0000-0000E45C0000}"/>
    <cellStyle name="Normal 8 2 3 3 3" xfId="22989" xr:uid="{00000000-0005-0000-0000-0000E55C0000}"/>
    <cellStyle name="Normal 8 2 3 4" xfId="11506" xr:uid="{00000000-0005-0000-0000-0000E65C0000}"/>
    <cellStyle name="Normal 8 2 3 5" xfId="19461" xr:uid="{00000000-0005-0000-0000-0000E75C0000}"/>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3" xfId="23868" xr:uid="{00000000-0005-0000-0000-0000EC5C0000}"/>
    <cellStyle name="Normal 8 2 4 3" xfId="12384" xr:uid="{00000000-0005-0000-0000-0000ED5C0000}"/>
    <cellStyle name="Normal 8 2 4 4" xfId="20339" xr:uid="{00000000-0005-0000-0000-0000EE5C0000}"/>
    <cellStyle name="Normal 8 2 5" xfId="6179" xr:uid="{00000000-0005-0000-0000-0000EF5C0000}"/>
    <cellStyle name="Normal 8 2 5 2" xfId="14163" xr:uid="{00000000-0005-0000-0000-0000F05C0000}"/>
    <cellStyle name="Normal 8 2 5 3" xfId="22111" xr:uid="{00000000-0005-0000-0000-0000F15C0000}"/>
    <cellStyle name="Normal 8 2 6" xfId="9732" xr:uid="{00000000-0005-0000-0000-0000F25C0000}"/>
    <cellStyle name="Normal 8 2 6 2" xfId="17690" xr:uid="{00000000-0005-0000-0000-0000F35C0000}"/>
    <cellStyle name="Normal 8 2 6 3" xfId="25634" xr:uid="{00000000-0005-0000-0000-0000F45C0000}"/>
    <cellStyle name="Normal 8 2 7" xfId="10628" xr:uid="{00000000-0005-0000-0000-0000F55C0000}"/>
    <cellStyle name="Normal 8 2 8" xfId="18583" xr:uid="{00000000-0005-0000-0000-0000F65C0000}"/>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3" xfId="24748" xr:uid="{00000000-0005-0000-0000-0000FD5C0000}"/>
    <cellStyle name="Normal 8 3 2 2 3" xfId="13264" xr:uid="{00000000-0005-0000-0000-0000FE5C0000}"/>
    <cellStyle name="Normal 8 3 2 2 4" xfId="21219" xr:uid="{00000000-0005-0000-0000-0000FF5C0000}"/>
    <cellStyle name="Normal 8 3 2 3" xfId="7072" xr:uid="{00000000-0005-0000-0000-0000005D0000}"/>
    <cellStyle name="Normal 8 3 2 3 2" xfId="15044" xr:uid="{00000000-0005-0000-0000-0000015D0000}"/>
    <cellStyle name="Normal 8 3 2 3 3" xfId="22991" xr:uid="{00000000-0005-0000-0000-0000025D0000}"/>
    <cellStyle name="Normal 8 3 2 4" xfId="11508" xr:uid="{00000000-0005-0000-0000-0000035D0000}"/>
    <cellStyle name="Normal 8 3 2 5" xfId="19463" xr:uid="{00000000-0005-0000-0000-0000045D0000}"/>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3" xfId="23870" xr:uid="{00000000-0005-0000-0000-0000095D0000}"/>
    <cellStyle name="Normal 8 3 3 3" xfId="12386" xr:uid="{00000000-0005-0000-0000-00000A5D0000}"/>
    <cellStyle name="Normal 8 3 3 4" xfId="20341" xr:uid="{00000000-0005-0000-0000-00000B5D0000}"/>
    <cellStyle name="Normal 8 3 4" xfId="6181" xr:uid="{00000000-0005-0000-0000-00000C5D0000}"/>
    <cellStyle name="Normal 8 3 4 2" xfId="14165" xr:uid="{00000000-0005-0000-0000-00000D5D0000}"/>
    <cellStyle name="Normal 8 3 4 3" xfId="22113" xr:uid="{00000000-0005-0000-0000-00000E5D0000}"/>
    <cellStyle name="Normal 8 3 5" xfId="9734" xr:uid="{00000000-0005-0000-0000-00000F5D0000}"/>
    <cellStyle name="Normal 8 3 5 2" xfId="17692" xr:uid="{00000000-0005-0000-0000-0000105D0000}"/>
    <cellStyle name="Normal 8 3 5 3" xfId="25636" xr:uid="{00000000-0005-0000-0000-0000115D0000}"/>
    <cellStyle name="Normal 8 3 6" xfId="10630" xr:uid="{00000000-0005-0000-0000-0000125D0000}"/>
    <cellStyle name="Normal 8 3 7" xfId="18585" xr:uid="{00000000-0005-0000-0000-0000135D0000}"/>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3" xfId="24088" xr:uid="{00000000-0005-0000-0000-00001A5D0000}"/>
    <cellStyle name="Normal 8 5 2 3" xfId="12604" xr:uid="{00000000-0005-0000-0000-00001B5D0000}"/>
    <cellStyle name="Normal 8 5 2 4" xfId="20559" xr:uid="{00000000-0005-0000-0000-00001C5D0000}"/>
    <cellStyle name="Normal 8 5 3" xfId="6412" xr:uid="{00000000-0005-0000-0000-00001D5D0000}"/>
    <cellStyle name="Normal 8 5 3 2" xfId="14384" xr:uid="{00000000-0005-0000-0000-00001E5D0000}"/>
    <cellStyle name="Normal 8 5 3 3" xfId="22331" xr:uid="{00000000-0005-0000-0000-00001F5D0000}"/>
    <cellStyle name="Normal 8 5 4" xfId="10848" xr:uid="{00000000-0005-0000-0000-0000205D0000}"/>
    <cellStyle name="Normal 8 5 5" xfId="18803" xr:uid="{00000000-0005-0000-0000-0000215D0000}"/>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3" xfId="23210" xr:uid="{00000000-0005-0000-0000-0000265D0000}"/>
    <cellStyle name="Normal 8 6 3" xfId="11726" xr:uid="{00000000-0005-0000-0000-0000275D0000}"/>
    <cellStyle name="Normal 8 6 4" xfId="19681" xr:uid="{00000000-0005-0000-0000-0000285D0000}"/>
    <cellStyle name="Normal 8 7" xfId="5521" xr:uid="{00000000-0005-0000-0000-0000295D0000}"/>
    <cellStyle name="Normal 8 7 2" xfId="13505" xr:uid="{00000000-0005-0000-0000-00002A5D0000}"/>
    <cellStyle name="Normal 8 7 3" xfId="21453" xr:uid="{00000000-0005-0000-0000-00002B5D0000}"/>
    <cellStyle name="Normal 8 8" xfId="9074" xr:uid="{00000000-0005-0000-0000-00002C5D0000}"/>
    <cellStyle name="Normal 8 8 2" xfId="17032" xr:uid="{00000000-0005-0000-0000-00002D5D0000}"/>
    <cellStyle name="Normal 8 8 3" xfId="24976" xr:uid="{00000000-0005-0000-0000-00002E5D0000}"/>
    <cellStyle name="Normal 8 9" xfId="9970" xr:uid="{00000000-0005-0000-0000-00002F5D0000}"/>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3" xfId="24750" xr:uid="{00000000-0005-0000-0000-0000385D0000}"/>
    <cellStyle name="Normal 9 2 2 2 2 3" xfId="13266" xr:uid="{00000000-0005-0000-0000-0000395D0000}"/>
    <cellStyle name="Normal 9 2 2 2 2 4" xfId="21221" xr:uid="{00000000-0005-0000-0000-00003A5D0000}"/>
    <cellStyle name="Normal 9 2 2 2 3" xfId="7074" xr:uid="{00000000-0005-0000-0000-00003B5D0000}"/>
    <cellStyle name="Normal 9 2 2 2 3 2" xfId="15046" xr:uid="{00000000-0005-0000-0000-00003C5D0000}"/>
    <cellStyle name="Normal 9 2 2 2 3 3" xfId="22993" xr:uid="{00000000-0005-0000-0000-00003D5D0000}"/>
    <cellStyle name="Normal 9 2 2 2 4" xfId="11510" xr:uid="{00000000-0005-0000-0000-00003E5D0000}"/>
    <cellStyle name="Normal 9 2 2 2 5" xfId="19465" xr:uid="{00000000-0005-0000-0000-00003F5D000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3" xfId="23872" xr:uid="{00000000-0005-0000-0000-0000445D0000}"/>
    <cellStyle name="Normal 9 2 2 3 3" xfId="12388" xr:uid="{00000000-0005-0000-0000-0000455D0000}"/>
    <cellStyle name="Normal 9 2 2 3 4" xfId="20343" xr:uid="{00000000-0005-0000-0000-0000465D0000}"/>
    <cellStyle name="Normal 9 2 2 4" xfId="6183" xr:uid="{00000000-0005-0000-0000-0000475D0000}"/>
    <cellStyle name="Normal 9 2 2 4 2" xfId="14167" xr:uid="{00000000-0005-0000-0000-0000485D0000}"/>
    <cellStyle name="Normal 9 2 2 4 3" xfId="22115" xr:uid="{00000000-0005-0000-0000-0000495D0000}"/>
    <cellStyle name="Normal 9 2 2 5" xfId="9736" xr:uid="{00000000-0005-0000-0000-00004A5D0000}"/>
    <cellStyle name="Normal 9 2 2 5 2" xfId="17694" xr:uid="{00000000-0005-0000-0000-00004B5D0000}"/>
    <cellStyle name="Normal 9 2 2 5 3" xfId="25638" xr:uid="{00000000-0005-0000-0000-00004C5D0000}"/>
    <cellStyle name="Normal 9 2 2 6" xfId="10632" xr:uid="{00000000-0005-0000-0000-00004D5D0000}"/>
    <cellStyle name="Normal 9 2 2 7" xfId="18587" xr:uid="{00000000-0005-0000-0000-00004E5D0000}"/>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3" xfId="24749" xr:uid="{00000000-0005-0000-0000-0000545D0000}"/>
    <cellStyle name="Normal 9 2 3 2 3" xfId="13265" xr:uid="{00000000-0005-0000-0000-0000555D0000}"/>
    <cellStyle name="Normal 9 2 3 2 4" xfId="21220" xr:uid="{00000000-0005-0000-0000-0000565D0000}"/>
    <cellStyle name="Normal 9 2 3 3" xfId="7073" xr:uid="{00000000-0005-0000-0000-0000575D0000}"/>
    <cellStyle name="Normal 9 2 3 3 2" xfId="15045" xr:uid="{00000000-0005-0000-0000-0000585D0000}"/>
    <cellStyle name="Normal 9 2 3 3 3" xfId="22992" xr:uid="{00000000-0005-0000-0000-0000595D0000}"/>
    <cellStyle name="Normal 9 2 3 4" xfId="11509" xr:uid="{00000000-0005-0000-0000-00005A5D0000}"/>
    <cellStyle name="Normal 9 2 3 5" xfId="19464" xr:uid="{00000000-0005-0000-0000-00005B5D0000}"/>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3" xfId="23871" xr:uid="{00000000-0005-0000-0000-0000605D0000}"/>
    <cellStyle name="Normal 9 2 4 3" xfId="12387" xr:uid="{00000000-0005-0000-0000-0000615D0000}"/>
    <cellStyle name="Normal 9 2 4 4" xfId="20342" xr:uid="{00000000-0005-0000-0000-0000625D0000}"/>
    <cellStyle name="Normal 9 2 5" xfId="6182" xr:uid="{00000000-0005-0000-0000-0000635D0000}"/>
    <cellStyle name="Normal 9 2 5 2" xfId="14166" xr:uid="{00000000-0005-0000-0000-0000645D0000}"/>
    <cellStyle name="Normal 9 2 5 3" xfId="22114" xr:uid="{00000000-0005-0000-0000-0000655D0000}"/>
    <cellStyle name="Normal 9 2 6" xfId="9735" xr:uid="{00000000-0005-0000-0000-0000665D0000}"/>
    <cellStyle name="Normal 9 2 6 2" xfId="17693" xr:uid="{00000000-0005-0000-0000-0000675D0000}"/>
    <cellStyle name="Normal 9 2 6 3" xfId="25637" xr:uid="{00000000-0005-0000-0000-0000685D0000}"/>
    <cellStyle name="Normal 9 2 7" xfId="10631" xr:uid="{00000000-0005-0000-0000-0000695D0000}"/>
    <cellStyle name="Normal 9 2 8" xfId="18586" xr:uid="{00000000-0005-0000-0000-00006A5D0000}"/>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3" xfId="24751" xr:uid="{00000000-0005-0000-0000-0000715D0000}"/>
    <cellStyle name="Normal 9 3 2 2 3" xfId="13267" xr:uid="{00000000-0005-0000-0000-0000725D0000}"/>
    <cellStyle name="Normal 9 3 2 2 4" xfId="21222" xr:uid="{00000000-0005-0000-0000-0000735D0000}"/>
    <cellStyle name="Normal 9 3 2 3" xfId="7075" xr:uid="{00000000-0005-0000-0000-0000745D0000}"/>
    <cellStyle name="Normal 9 3 2 3 2" xfId="15047" xr:uid="{00000000-0005-0000-0000-0000755D0000}"/>
    <cellStyle name="Normal 9 3 2 3 3" xfId="22994" xr:uid="{00000000-0005-0000-0000-0000765D0000}"/>
    <cellStyle name="Normal 9 3 2 4" xfId="11511" xr:uid="{00000000-0005-0000-0000-0000775D0000}"/>
    <cellStyle name="Normal 9 3 2 5" xfId="19466" xr:uid="{00000000-0005-0000-0000-0000785D0000}"/>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3" xfId="23873" xr:uid="{00000000-0005-0000-0000-00007D5D0000}"/>
    <cellStyle name="Normal 9 3 3 3" xfId="12389" xr:uid="{00000000-0005-0000-0000-00007E5D0000}"/>
    <cellStyle name="Normal 9 3 3 4" xfId="20344" xr:uid="{00000000-0005-0000-0000-00007F5D0000}"/>
    <cellStyle name="Normal 9 3 4" xfId="6184" xr:uid="{00000000-0005-0000-0000-0000805D0000}"/>
    <cellStyle name="Normal 9 3 4 2" xfId="14168" xr:uid="{00000000-0005-0000-0000-0000815D0000}"/>
    <cellStyle name="Normal 9 3 4 3" xfId="22116" xr:uid="{00000000-0005-0000-0000-0000825D0000}"/>
    <cellStyle name="Normal 9 3 5" xfId="9737" xr:uid="{00000000-0005-0000-0000-0000835D0000}"/>
    <cellStyle name="Normal 9 3 5 2" xfId="17695" xr:uid="{00000000-0005-0000-0000-0000845D0000}"/>
    <cellStyle name="Normal 9 3 5 3" xfId="25639" xr:uid="{00000000-0005-0000-0000-0000855D0000}"/>
    <cellStyle name="Normal 9 3 6" xfId="10633" xr:uid="{00000000-0005-0000-0000-0000865D0000}"/>
    <cellStyle name="Normal 9 3 7" xfId="18588" xr:uid="{00000000-0005-0000-0000-0000875D0000}"/>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3" xfId="24955" xr:uid="{00000000-0005-0000-0000-00008E5D0000}"/>
    <cellStyle name="Normal 9 4 2 2 3" xfId="13471" xr:uid="{00000000-0005-0000-0000-00008F5D0000}"/>
    <cellStyle name="Normal 9 4 2 2 4" xfId="21426" xr:uid="{00000000-0005-0000-0000-0000905D0000}"/>
    <cellStyle name="Normal 9 4 2 3" xfId="7279" xr:uid="{00000000-0005-0000-0000-0000915D0000}"/>
    <cellStyle name="Normal 9 4 2 3 2" xfId="15251" xr:uid="{00000000-0005-0000-0000-0000925D0000}"/>
    <cellStyle name="Normal 9 4 2 3 3" xfId="23198" xr:uid="{00000000-0005-0000-0000-0000935D0000}"/>
    <cellStyle name="Normal 9 4 2 4" xfId="11715" xr:uid="{00000000-0005-0000-0000-0000945D0000}"/>
    <cellStyle name="Normal 9 4 2 5" xfId="19670" xr:uid="{00000000-0005-0000-0000-0000955D0000}"/>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3" xfId="24077" xr:uid="{00000000-0005-0000-0000-00009A5D0000}"/>
    <cellStyle name="Normal 9 4 3 3" xfId="12593" xr:uid="{00000000-0005-0000-0000-00009B5D0000}"/>
    <cellStyle name="Normal 9 4 3 4" xfId="20548" xr:uid="{00000000-0005-0000-0000-00009C5D0000}"/>
    <cellStyle name="Normal 9 4 4" xfId="6398" xr:uid="{00000000-0005-0000-0000-00009D5D0000}"/>
    <cellStyle name="Normal 9 4 4 2" xfId="14373" xr:uid="{00000000-0005-0000-0000-00009E5D0000}"/>
    <cellStyle name="Normal 9 4 4 3" xfId="22320" xr:uid="{00000000-0005-0000-0000-00009F5D0000}"/>
    <cellStyle name="Normal 9 4 5" xfId="9941" xr:uid="{00000000-0005-0000-0000-0000A05D0000}"/>
    <cellStyle name="Normal 9 4 5 2" xfId="17899" xr:uid="{00000000-0005-0000-0000-0000A15D0000}"/>
    <cellStyle name="Normal 9 4 5 3" xfId="25843" xr:uid="{00000000-0005-0000-0000-0000A25D0000}"/>
    <cellStyle name="Normal 9 4 6" xfId="10837" xr:uid="{00000000-0005-0000-0000-0000A35D0000}"/>
    <cellStyle name="Normal 9 4 7" xfId="18792" xr:uid="{00000000-0005-0000-0000-0000A45D0000}"/>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3" xfId="24754" xr:uid="{00000000-0005-0000-0000-0000B35D0000}"/>
    <cellStyle name="Note 10 2 2 2 2 3" xfId="13270" xr:uid="{00000000-0005-0000-0000-0000B45D0000}"/>
    <cellStyle name="Note 10 2 2 2 2 4" xfId="21225" xr:uid="{00000000-0005-0000-0000-0000B55D0000}"/>
    <cellStyle name="Note 10 2 2 2 3" xfId="7078" xr:uid="{00000000-0005-0000-0000-0000B65D0000}"/>
    <cellStyle name="Note 10 2 2 2 3 2" xfId="15050" xr:uid="{00000000-0005-0000-0000-0000B75D0000}"/>
    <cellStyle name="Note 10 2 2 2 3 3" xfId="22997" xr:uid="{00000000-0005-0000-0000-0000B85D0000}"/>
    <cellStyle name="Note 10 2 2 2 4" xfId="11514" xr:uid="{00000000-0005-0000-0000-0000B95D0000}"/>
    <cellStyle name="Note 10 2 2 2 5" xfId="19469" xr:uid="{00000000-0005-0000-0000-0000BA5D0000}"/>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3" xfId="23876" xr:uid="{00000000-0005-0000-0000-0000BF5D0000}"/>
    <cellStyle name="Note 10 2 2 3 3" xfId="12392" xr:uid="{00000000-0005-0000-0000-0000C05D0000}"/>
    <cellStyle name="Note 10 2 2 3 4" xfId="20347" xr:uid="{00000000-0005-0000-0000-0000C15D0000}"/>
    <cellStyle name="Note 10 2 2 4" xfId="6187" xr:uid="{00000000-0005-0000-0000-0000C25D0000}"/>
    <cellStyle name="Note 10 2 2 4 2" xfId="14171" xr:uid="{00000000-0005-0000-0000-0000C35D0000}"/>
    <cellStyle name="Note 10 2 2 4 3" xfId="22119" xr:uid="{00000000-0005-0000-0000-0000C45D0000}"/>
    <cellStyle name="Note 10 2 2 5" xfId="9740" xr:uid="{00000000-0005-0000-0000-0000C55D0000}"/>
    <cellStyle name="Note 10 2 2 5 2" xfId="17698" xr:uid="{00000000-0005-0000-0000-0000C65D0000}"/>
    <cellStyle name="Note 10 2 2 5 3" xfId="25642" xr:uid="{00000000-0005-0000-0000-0000C75D0000}"/>
    <cellStyle name="Note 10 2 2 6" xfId="10636" xr:uid="{00000000-0005-0000-0000-0000C85D0000}"/>
    <cellStyle name="Note 10 2 2 7" xfId="18591" xr:uid="{00000000-0005-0000-0000-0000C95D0000}"/>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3" xfId="24753" xr:uid="{00000000-0005-0000-0000-0000CF5D0000}"/>
    <cellStyle name="Note 10 2 3 2 3" xfId="13269" xr:uid="{00000000-0005-0000-0000-0000D05D0000}"/>
    <cellStyle name="Note 10 2 3 2 4" xfId="21224" xr:uid="{00000000-0005-0000-0000-0000D15D0000}"/>
    <cellStyle name="Note 10 2 3 3" xfId="7077" xr:uid="{00000000-0005-0000-0000-0000D25D0000}"/>
    <cellStyle name="Note 10 2 3 3 2" xfId="15049" xr:uid="{00000000-0005-0000-0000-0000D35D0000}"/>
    <cellStyle name="Note 10 2 3 3 3" xfId="22996" xr:uid="{00000000-0005-0000-0000-0000D45D0000}"/>
    <cellStyle name="Note 10 2 3 4" xfId="11513" xr:uid="{00000000-0005-0000-0000-0000D55D0000}"/>
    <cellStyle name="Note 10 2 3 5" xfId="19468" xr:uid="{00000000-0005-0000-0000-0000D65D0000}"/>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3" xfId="23875" xr:uid="{00000000-0005-0000-0000-0000DB5D0000}"/>
    <cellStyle name="Note 10 2 4 3" xfId="12391" xr:uid="{00000000-0005-0000-0000-0000DC5D0000}"/>
    <cellStyle name="Note 10 2 4 4" xfId="20346" xr:uid="{00000000-0005-0000-0000-0000DD5D0000}"/>
    <cellStyle name="Note 10 2 5" xfId="6186" xr:uid="{00000000-0005-0000-0000-0000DE5D0000}"/>
    <cellStyle name="Note 10 2 5 2" xfId="14170" xr:uid="{00000000-0005-0000-0000-0000DF5D0000}"/>
    <cellStyle name="Note 10 2 5 3" xfId="22118" xr:uid="{00000000-0005-0000-0000-0000E05D0000}"/>
    <cellStyle name="Note 10 2 6" xfId="9739" xr:uid="{00000000-0005-0000-0000-0000E15D0000}"/>
    <cellStyle name="Note 10 2 6 2" xfId="17697" xr:uid="{00000000-0005-0000-0000-0000E25D0000}"/>
    <cellStyle name="Note 10 2 6 3" xfId="25641" xr:uid="{00000000-0005-0000-0000-0000E35D0000}"/>
    <cellStyle name="Note 10 2 7" xfId="10635" xr:uid="{00000000-0005-0000-0000-0000E45D0000}"/>
    <cellStyle name="Note 10 2 8" xfId="18590" xr:uid="{00000000-0005-0000-0000-0000E55D0000}"/>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3" xfId="24755" xr:uid="{00000000-0005-0000-0000-0000EC5D0000}"/>
    <cellStyle name="Note 10 3 2 2 3" xfId="13271" xr:uid="{00000000-0005-0000-0000-0000ED5D0000}"/>
    <cellStyle name="Note 10 3 2 2 4" xfId="21226" xr:uid="{00000000-0005-0000-0000-0000EE5D0000}"/>
    <cellStyle name="Note 10 3 2 3" xfId="7079" xr:uid="{00000000-0005-0000-0000-0000EF5D0000}"/>
    <cellStyle name="Note 10 3 2 3 2" xfId="15051" xr:uid="{00000000-0005-0000-0000-0000F05D0000}"/>
    <cellStyle name="Note 10 3 2 3 3" xfId="22998" xr:uid="{00000000-0005-0000-0000-0000F15D0000}"/>
    <cellStyle name="Note 10 3 2 4" xfId="11515" xr:uid="{00000000-0005-0000-0000-0000F25D0000}"/>
    <cellStyle name="Note 10 3 2 5" xfId="19470" xr:uid="{00000000-0005-0000-0000-0000F35D0000}"/>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3" xfId="23877" xr:uid="{00000000-0005-0000-0000-0000F85D0000}"/>
    <cellStyle name="Note 10 3 3 3" xfId="12393" xr:uid="{00000000-0005-0000-0000-0000F95D0000}"/>
    <cellStyle name="Note 10 3 3 4" xfId="20348" xr:uid="{00000000-0005-0000-0000-0000FA5D0000}"/>
    <cellStyle name="Note 10 3 4" xfId="6188" xr:uid="{00000000-0005-0000-0000-0000FB5D0000}"/>
    <cellStyle name="Note 10 3 4 2" xfId="14172" xr:uid="{00000000-0005-0000-0000-0000FC5D0000}"/>
    <cellStyle name="Note 10 3 4 3" xfId="22120" xr:uid="{00000000-0005-0000-0000-0000FD5D0000}"/>
    <cellStyle name="Note 10 3 5" xfId="9741" xr:uid="{00000000-0005-0000-0000-0000FE5D0000}"/>
    <cellStyle name="Note 10 3 5 2" xfId="17699" xr:uid="{00000000-0005-0000-0000-0000FF5D0000}"/>
    <cellStyle name="Note 10 3 5 3" xfId="25643" xr:uid="{00000000-0005-0000-0000-0000005E0000}"/>
    <cellStyle name="Note 10 3 6" xfId="10637" xr:uid="{00000000-0005-0000-0000-0000015E0000}"/>
    <cellStyle name="Note 10 3 7" xfId="18592" xr:uid="{00000000-0005-0000-0000-0000025E000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3" xfId="24752" xr:uid="{00000000-0005-0000-0000-00000A5E0000}"/>
    <cellStyle name="Note 10 5 2 3" xfId="13268" xr:uid="{00000000-0005-0000-0000-00000B5E0000}"/>
    <cellStyle name="Note 10 5 2 4" xfId="21223" xr:uid="{00000000-0005-0000-0000-00000C5E0000}"/>
    <cellStyle name="Note 10 5 3" xfId="7076" xr:uid="{00000000-0005-0000-0000-00000D5E0000}"/>
    <cellStyle name="Note 10 5 3 2" xfId="15048" xr:uid="{00000000-0005-0000-0000-00000E5E0000}"/>
    <cellStyle name="Note 10 5 3 3" xfId="22995" xr:uid="{00000000-0005-0000-0000-00000F5E0000}"/>
    <cellStyle name="Note 10 5 4" xfId="11512" xr:uid="{00000000-0005-0000-0000-0000105E0000}"/>
    <cellStyle name="Note 10 5 5" xfId="19467" xr:uid="{00000000-0005-0000-0000-0000115E0000}"/>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3" xfId="23874" xr:uid="{00000000-0005-0000-0000-0000165E0000}"/>
    <cellStyle name="Note 10 6 3" xfId="12390" xr:uid="{00000000-0005-0000-0000-0000175E0000}"/>
    <cellStyle name="Note 10 6 4" xfId="20345" xr:uid="{00000000-0005-0000-0000-0000185E0000}"/>
    <cellStyle name="Note 10 7" xfId="6185" xr:uid="{00000000-0005-0000-0000-0000195E0000}"/>
    <cellStyle name="Note 10 7 2" xfId="14169" xr:uid="{00000000-0005-0000-0000-00001A5E0000}"/>
    <cellStyle name="Note 10 7 3" xfId="22117" xr:uid="{00000000-0005-0000-0000-00001B5E0000}"/>
    <cellStyle name="Note 10 8" xfId="9738" xr:uid="{00000000-0005-0000-0000-00001C5E0000}"/>
    <cellStyle name="Note 10 8 2" xfId="17696" xr:uid="{00000000-0005-0000-0000-00001D5E0000}"/>
    <cellStyle name="Note 10 8 3" xfId="25640" xr:uid="{00000000-0005-0000-0000-00001E5E0000}"/>
    <cellStyle name="Note 10 9" xfId="10634" xr:uid="{00000000-0005-0000-0000-00001F5E0000}"/>
    <cellStyle name="Note 10_Exh G" xfId="3569" xr:uid="{00000000-0005-0000-0000-0000205E0000}"/>
    <cellStyle name="Note 11" xfId="690" xr:uid="{00000000-0005-0000-0000-0000215E0000}"/>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3" xfId="24758" xr:uid="{00000000-0005-0000-0000-0000285E0000}"/>
    <cellStyle name="Note 11 2 2 2 2 3" xfId="13274" xr:uid="{00000000-0005-0000-0000-0000295E0000}"/>
    <cellStyle name="Note 11 2 2 2 2 4" xfId="21229" xr:uid="{00000000-0005-0000-0000-00002A5E0000}"/>
    <cellStyle name="Note 11 2 2 2 3" xfId="7082" xr:uid="{00000000-0005-0000-0000-00002B5E0000}"/>
    <cellStyle name="Note 11 2 2 2 3 2" xfId="15054" xr:uid="{00000000-0005-0000-0000-00002C5E0000}"/>
    <cellStyle name="Note 11 2 2 2 3 3" xfId="23001" xr:uid="{00000000-0005-0000-0000-00002D5E0000}"/>
    <cellStyle name="Note 11 2 2 2 4" xfId="11518" xr:uid="{00000000-0005-0000-0000-00002E5E0000}"/>
    <cellStyle name="Note 11 2 2 2 5" xfId="19473" xr:uid="{00000000-0005-0000-0000-00002F5E0000}"/>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3" xfId="23880" xr:uid="{00000000-0005-0000-0000-0000345E0000}"/>
    <cellStyle name="Note 11 2 2 3 3" xfId="12396" xr:uid="{00000000-0005-0000-0000-0000355E0000}"/>
    <cellStyle name="Note 11 2 2 3 4" xfId="20351" xr:uid="{00000000-0005-0000-0000-0000365E0000}"/>
    <cellStyle name="Note 11 2 2 4" xfId="6191" xr:uid="{00000000-0005-0000-0000-0000375E0000}"/>
    <cellStyle name="Note 11 2 2 4 2" xfId="14175" xr:uid="{00000000-0005-0000-0000-0000385E0000}"/>
    <cellStyle name="Note 11 2 2 4 3" xfId="22123" xr:uid="{00000000-0005-0000-0000-0000395E0000}"/>
    <cellStyle name="Note 11 2 2 5" xfId="9744" xr:uid="{00000000-0005-0000-0000-00003A5E0000}"/>
    <cellStyle name="Note 11 2 2 5 2" xfId="17702" xr:uid="{00000000-0005-0000-0000-00003B5E0000}"/>
    <cellStyle name="Note 11 2 2 5 3" xfId="25646" xr:uid="{00000000-0005-0000-0000-00003C5E0000}"/>
    <cellStyle name="Note 11 2 2 6" xfId="10640" xr:uid="{00000000-0005-0000-0000-00003D5E0000}"/>
    <cellStyle name="Note 11 2 2 7" xfId="18595" xr:uid="{00000000-0005-0000-0000-00003E5E0000}"/>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3" xfId="24757" xr:uid="{00000000-0005-0000-0000-0000445E0000}"/>
    <cellStyle name="Note 11 2 3 2 3" xfId="13273" xr:uid="{00000000-0005-0000-0000-0000455E0000}"/>
    <cellStyle name="Note 11 2 3 2 4" xfId="21228" xr:uid="{00000000-0005-0000-0000-0000465E0000}"/>
    <cellStyle name="Note 11 2 3 3" xfId="7081" xr:uid="{00000000-0005-0000-0000-0000475E0000}"/>
    <cellStyle name="Note 11 2 3 3 2" xfId="15053" xr:uid="{00000000-0005-0000-0000-0000485E0000}"/>
    <cellStyle name="Note 11 2 3 3 3" xfId="23000" xr:uid="{00000000-0005-0000-0000-0000495E0000}"/>
    <cellStyle name="Note 11 2 3 4" xfId="11517" xr:uid="{00000000-0005-0000-0000-00004A5E0000}"/>
    <cellStyle name="Note 11 2 3 5" xfId="19472" xr:uid="{00000000-0005-0000-0000-00004B5E0000}"/>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3" xfId="23879" xr:uid="{00000000-0005-0000-0000-0000505E0000}"/>
    <cellStyle name="Note 11 2 4 3" xfId="12395" xr:uid="{00000000-0005-0000-0000-0000515E0000}"/>
    <cellStyle name="Note 11 2 4 4" xfId="20350" xr:uid="{00000000-0005-0000-0000-0000525E0000}"/>
    <cellStyle name="Note 11 2 5" xfId="6190" xr:uid="{00000000-0005-0000-0000-0000535E0000}"/>
    <cellStyle name="Note 11 2 5 2" xfId="14174" xr:uid="{00000000-0005-0000-0000-0000545E0000}"/>
    <cellStyle name="Note 11 2 5 3" xfId="22122" xr:uid="{00000000-0005-0000-0000-0000555E0000}"/>
    <cellStyle name="Note 11 2 6" xfId="9743" xr:uid="{00000000-0005-0000-0000-0000565E0000}"/>
    <cellStyle name="Note 11 2 6 2" xfId="17701" xr:uid="{00000000-0005-0000-0000-0000575E0000}"/>
    <cellStyle name="Note 11 2 6 3" xfId="25645" xr:uid="{00000000-0005-0000-0000-0000585E0000}"/>
    <cellStyle name="Note 11 2 7" xfId="10639" xr:uid="{00000000-0005-0000-0000-0000595E0000}"/>
    <cellStyle name="Note 11 2 8" xfId="18594" xr:uid="{00000000-0005-0000-0000-00005A5E0000}"/>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3" xfId="24759" xr:uid="{00000000-0005-0000-0000-0000615E0000}"/>
    <cellStyle name="Note 11 3 2 2 3" xfId="13275" xr:uid="{00000000-0005-0000-0000-0000625E0000}"/>
    <cellStyle name="Note 11 3 2 2 4" xfId="21230" xr:uid="{00000000-0005-0000-0000-0000635E0000}"/>
    <cellStyle name="Note 11 3 2 3" xfId="7083" xr:uid="{00000000-0005-0000-0000-0000645E0000}"/>
    <cellStyle name="Note 11 3 2 3 2" xfId="15055" xr:uid="{00000000-0005-0000-0000-0000655E0000}"/>
    <cellStyle name="Note 11 3 2 3 3" xfId="23002" xr:uid="{00000000-0005-0000-0000-0000665E0000}"/>
    <cellStyle name="Note 11 3 2 4" xfId="11519" xr:uid="{00000000-0005-0000-0000-0000675E0000}"/>
    <cellStyle name="Note 11 3 2 5" xfId="19474" xr:uid="{00000000-0005-0000-0000-0000685E0000}"/>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3" xfId="23881" xr:uid="{00000000-0005-0000-0000-00006D5E0000}"/>
    <cellStyle name="Note 11 3 3 3" xfId="12397" xr:uid="{00000000-0005-0000-0000-00006E5E0000}"/>
    <cellStyle name="Note 11 3 3 4" xfId="20352" xr:uid="{00000000-0005-0000-0000-00006F5E0000}"/>
    <cellStyle name="Note 11 3 4" xfId="6192" xr:uid="{00000000-0005-0000-0000-0000705E0000}"/>
    <cellStyle name="Note 11 3 4 2" xfId="14176" xr:uid="{00000000-0005-0000-0000-0000715E0000}"/>
    <cellStyle name="Note 11 3 4 3" xfId="22124" xr:uid="{00000000-0005-0000-0000-0000725E0000}"/>
    <cellStyle name="Note 11 3 5" xfId="9745" xr:uid="{00000000-0005-0000-0000-0000735E0000}"/>
    <cellStyle name="Note 11 3 5 2" xfId="17703" xr:uid="{00000000-0005-0000-0000-0000745E0000}"/>
    <cellStyle name="Note 11 3 5 3" xfId="25647" xr:uid="{00000000-0005-0000-0000-0000755E0000}"/>
    <cellStyle name="Note 11 3 6" xfId="10641" xr:uid="{00000000-0005-0000-0000-0000765E0000}"/>
    <cellStyle name="Note 11 3 7" xfId="18596" xr:uid="{00000000-0005-0000-0000-0000775E000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3" xfId="24756" xr:uid="{00000000-0005-0000-0000-00007D5E0000}"/>
    <cellStyle name="Note 11 4 2 3" xfId="13272" xr:uid="{00000000-0005-0000-0000-00007E5E0000}"/>
    <cellStyle name="Note 11 4 2 4" xfId="21227" xr:uid="{00000000-0005-0000-0000-00007F5E0000}"/>
    <cellStyle name="Note 11 4 3" xfId="7080" xr:uid="{00000000-0005-0000-0000-0000805E0000}"/>
    <cellStyle name="Note 11 4 3 2" xfId="15052" xr:uid="{00000000-0005-0000-0000-0000815E0000}"/>
    <cellStyle name="Note 11 4 3 3" xfId="22999" xr:uid="{00000000-0005-0000-0000-0000825E0000}"/>
    <cellStyle name="Note 11 4 4" xfId="11516" xr:uid="{00000000-0005-0000-0000-0000835E0000}"/>
    <cellStyle name="Note 11 4 5" xfId="19471" xr:uid="{00000000-0005-0000-0000-0000845E0000}"/>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3" xfId="23878" xr:uid="{00000000-0005-0000-0000-0000895E0000}"/>
    <cellStyle name="Note 11 5 3" xfId="12394" xr:uid="{00000000-0005-0000-0000-00008A5E0000}"/>
    <cellStyle name="Note 11 5 4" xfId="20349" xr:uid="{00000000-0005-0000-0000-00008B5E0000}"/>
    <cellStyle name="Note 11 6" xfId="6189" xr:uid="{00000000-0005-0000-0000-00008C5E0000}"/>
    <cellStyle name="Note 11 6 2" xfId="14173" xr:uid="{00000000-0005-0000-0000-00008D5E0000}"/>
    <cellStyle name="Note 11 6 3" xfId="22121" xr:uid="{00000000-0005-0000-0000-00008E5E0000}"/>
    <cellStyle name="Note 11 7" xfId="9742" xr:uid="{00000000-0005-0000-0000-00008F5E0000}"/>
    <cellStyle name="Note 11 7 2" xfId="17700" xr:uid="{00000000-0005-0000-0000-0000905E0000}"/>
    <cellStyle name="Note 11 7 3" xfId="25644" xr:uid="{00000000-0005-0000-0000-0000915E0000}"/>
    <cellStyle name="Note 11 8" xfId="10638" xr:uid="{00000000-0005-0000-0000-0000925E0000}"/>
    <cellStyle name="Note 11 9" xfId="18593" xr:uid="{00000000-0005-0000-0000-0000935E0000}"/>
    <cellStyle name="Note 11_Exh G" xfId="3577" xr:uid="{00000000-0005-0000-0000-0000945E0000}"/>
    <cellStyle name="Note 12" xfId="694" xr:uid="{00000000-0005-0000-0000-0000955E0000}"/>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3" xfId="24762" xr:uid="{00000000-0005-0000-0000-00009C5E0000}"/>
    <cellStyle name="Note 12 2 2 2 2 3" xfId="13278" xr:uid="{00000000-0005-0000-0000-00009D5E0000}"/>
    <cellStyle name="Note 12 2 2 2 2 4" xfId="21233" xr:uid="{00000000-0005-0000-0000-00009E5E0000}"/>
    <cellStyle name="Note 12 2 2 2 3" xfId="7086" xr:uid="{00000000-0005-0000-0000-00009F5E0000}"/>
    <cellStyle name="Note 12 2 2 2 3 2" xfId="15058" xr:uid="{00000000-0005-0000-0000-0000A05E0000}"/>
    <cellStyle name="Note 12 2 2 2 3 3" xfId="23005" xr:uid="{00000000-0005-0000-0000-0000A15E0000}"/>
    <cellStyle name="Note 12 2 2 2 4" xfId="11522" xr:uid="{00000000-0005-0000-0000-0000A25E0000}"/>
    <cellStyle name="Note 12 2 2 2 5" xfId="19477" xr:uid="{00000000-0005-0000-0000-0000A35E0000}"/>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3" xfId="23884" xr:uid="{00000000-0005-0000-0000-0000A85E0000}"/>
    <cellStyle name="Note 12 2 2 3 3" xfId="12400" xr:uid="{00000000-0005-0000-0000-0000A95E0000}"/>
    <cellStyle name="Note 12 2 2 3 4" xfId="20355" xr:uid="{00000000-0005-0000-0000-0000AA5E0000}"/>
    <cellStyle name="Note 12 2 2 4" xfId="6195" xr:uid="{00000000-0005-0000-0000-0000AB5E0000}"/>
    <cellStyle name="Note 12 2 2 4 2" xfId="14179" xr:uid="{00000000-0005-0000-0000-0000AC5E0000}"/>
    <cellStyle name="Note 12 2 2 4 3" xfId="22127" xr:uid="{00000000-0005-0000-0000-0000AD5E0000}"/>
    <cellStyle name="Note 12 2 2 5" xfId="9748" xr:uid="{00000000-0005-0000-0000-0000AE5E0000}"/>
    <cellStyle name="Note 12 2 2 5 2" xfId="17706" xr:uid="{00000000-0005-0000-0000-0000AF5E0000}"/>
    <cellStyle name="Note 12 2 2 5 3" xfId="25650" xr:uid="{00000000-0005-0000-0000-0000B05E0000}"/>
    <cellStyle name="Note 12 2 2 6" xfId="10644" xr:uid="{00000000-0005-0000-0000-0000B15E0000}"/>
    <cellStyle name="Note 12 2 2 7" xfId="18599" xr:uid="{00000000-0005-0000-0000-0000B25E0000}"/>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3" xfId="24761" xr:uid="{00000000-0005-0000-0000-0000B85E0000}"/>
    <cellStyle name="Note 12 2 3 2 3" xfId="13277" xr:uid="{00000000-0005-0000-0000-0000B95E0000}"/>
    <cellStyle name="Note 12 2 3 2 4" xfId="21232" xr:uid="{00000000-0005-0000-0000-0000BA5E0000}"/>
    <cellStyle name="Note 12 2 3 3" xfId="7085" xr:uid="{00000000-0005-0000-0000-0000BB5E0000}"/>
    <cellStyle name="Note 12 2 3 3 2" xfId="15057" xr:uid="{00000000-0005-0000-0000-0000BC5E0000}"/>
    <cellStyle name="Note 12 2 3 3 3" xfId="23004" xr:uid="{00000000-0005-0000-0000-0000BD5E0000}"/>
    <cellStyle name="Note 12 2 3 4" xfId="11521" xr:uid="{00000000-0005-0000-0000-0000BE5E0000}"/>
    <cellStyle name="Note 12 2 3 5" xfId="19476" xr:uid="{00000000-0005-0000-0000-0000BF5E0000}"/>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3" xfId="23883" xr:uid="{00000000-0005-0000-0000-0000C45E0000}"/>
    <cellStyle name="Note 12 2 4 3" xfId="12399" xr:uid="{00000000-0005-0000-0000-0000C55E0000}"/>
    <cellStyle name="Note 12 2 4 4" xfId="20354" xr:uid="{00000000-0005-0000-0000-0000C65E0000}"/>
    <cellStyle name="Note 12 2 5" xfId="6194" xr:uid="{00000000-0005-0000-0000-0000C75E0000}"/>
    <cellStyle name="Note 12 2 5 2" xfId="14178" xr:uid="{00000000-0005-0000-0000-0000C85E0000}"/>
    <cellStyle name="Note 12 2 5 3" xfId="22126" xr:uid="{00000000-0005-0000-0000-0000C95E0000}"/>
    <cellStyle name="Note 12 2 6" xfId="9747" xr:uid="{00000000-0005-0000-0000-0000CA5E0000}"/>
    <cellStyle name="Note 12 2 6 2" xfId="17705" xr:uid="{00000000-0005-0000-0000-0000CB5E0000}"/>
    <cellStyle name="Note 12 2 6 3" xfId="25649" xr:uid="{00000000-0005-0000-0000-0000CC5E0000}"/>
    <cellStyle name="Note 12 2 7" xfId="10643" xr:uid="{00000000-0005-0000-0000-0000CD5E0000}"/>
    <cellStyle name="Note 12 2 8" xfId="18598" xr:uid="{00000000-0005-0000-0000-0000CE5E0000}"/>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3" xfId="24763" xr:uid="{00000000-0005-0000-0000-0000D55E0000}"/>
    <cellStyle name="Note 12 3 2 2 3" xfId="13279" xr:uid="{00000000-0005-0000-0000-0000D65E0000}"/>
    <cellStyle name="Note 12 3 2 2 4" xfId="21234" xr:uid="{00000000-0005-0000-0000-0000D75E0000}"/>
    <cellStyle name="Note 12 3 2 3" xfId="7087" xr:uid="{00000000-0005-0000-0000-0000D85E0000}"/>
    <cellStyle name="Note 12 3 2 3 2" xfId="15059" xr:uid="{00000000-0005-0000-0000-0000D95E0000}"/>
    <cellStyle name="Note 12 3 2 3 3" xfId="23006" xr:uid="{00000000-0005-0000-0000-0000DA5E0000}"/>
    <cellStyle name="Note 12 3 2 4" xfId="11523" xr:uid="{00000000-0005-0000-0000-0000DB5E0000}"/>
    <cellStyle name="Note 12 3 2 5" xfId="19478" xr:uid="{00000000-0005-0000-0000-0000DC5E0000}"/>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3" xfId="23885" xr:uid="{00000000-0005-0000-0000-0000E15E0000}"/>
    <cellStyle name="Note 12 3 3 3" xfId="12401" xr:uid="{00000000-0005-0000-0000-0000E25E0000}"/>
    <cellStyle name="Note 12 3 3 4" xfId="20356" xr:uid="{00000000-0005-0000-0000-0000E35E0000}"/>
    <cellStyle name="Note 12 3 4" xfId="6196" xr:uid="{00000000-0005-0000-0000-0000E45E0000}"/>
    <cellStyle name="Note 12 3 4 2" xfId="14180" xr:uid="{00000000-0005-0000-0000-0000E55E0000}"/>
    <cellStyle name="Note 12 3 4 3" xfId="22128" xr:uid="{00000000-0005-0000-0000-0000E65E0000}"/>
    <cellStyle name="Note 12 3 5" xfId="9749" xr:uid="{00000000-0005-0000-0000-0000E75E0000}"/>
    <cellStyle name="Note 12 3 5 2" xfId="17707" xr:uid="{00000000-0005-0000-0000-0000E85E0000}"/>
    <cellStyle name="Note 12 3 5 3" xfId="25651" xr:uid="{00000000-0005-0000-0000-0000E95E0000}"/>
    <cellStyle name="Note 12 3 6" xfId="10645" xr:uid="{00000000-0005-0000-0000-0000EA5E0000}"/>
    <cellStyle name="Note 12 3 7" xfId="18600" xr:uid="{00000000-0005-0000-0000-0000EB5E0000}"/>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3" xfId="24760" xr:uid="{00000000-0005-0000-0000-0000F15E0000}"/>
    <cellStyle name="Note 12 4 2 3" xfId="13276" xr:uid="{00000000-0005-0000-0000-0000F25E0000}"/>
    <cellStyle name="Note 12 4 2 4" xfId="21231" xr:uid="{00000000-0005-0000-0000-0000F35E0000}"/>
    <cellStyle name="Note 12 4 3" xfId="7084" xr:uid="{00000000-0005-0000-0000-0000F45E0000}"/>
    <cellStyle name="Note 12 4 3 2" xfId="15056" xr:uid="{00000000-0005-0000-0000-0000F55E0000}"/>
    <cellStyle name="Note 12 4 3 3" xfId="23003" xr:uid="{00000000-0005-0000-0000-0000F65E0000}"/>
    <cellStyle name="Note 12 4 4" xfId="11520" xr:uid="{00000000-0005-0000-0000-0000F75E0000}"/>
    <cellStyle name="Note 12 4 5" xfId="19475" xr:uid="{00000000-0005-0000-0000-0000F85E0000}"/>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3" xfId="23882" xr:uid="{00000000-0005-0000-0000-0000FD5E0000}"/>
    <cellStyle name="Note 12 5 3" xfId="12398" xr:uid="{00000000-0005-0000-0000-0000FE5E0000}"/>
    <cellStyle name="Note 12 5 4" xfId="20353" xr:uid="{00000000-0005-0000-0000-0000FF5E0000}"/>
    <cellStyle name="Note 12 6" xfId="6193" xr:uid="{00000000-0005-0000-0000-0000005F0000}"/>
    <cellStyle name="Note 12 6 2" xfId="14177" xr:uid="{00000000-0005-0000-0000-0000015F0000}"/>
    <cellStyle name="Note 12 6 3" xfId="22125" xr:uid="{00000000-0005-0000-0000-0000025F0000}"/>
    <cellStyle name="Note 12 7" xfId="9746" xr:uid="{00000000-0005-0000-0000-0000035F0000}"/>
    <cellStyle name="Note 12 7 2" xfId="17704" xr:uid="{00000000-0005-0000-0000-0000045F0000}"/>
    <cellStyle name="Note 12 7 3" xfId="25648" xr:uid="{00000000-0005-0000-0000-0000055F0000}"/>
    <cellStyle name="Note 12 8" xfId="10642" xr:uid="{00000000-0005-0000-0000-0000065F0000}"/>
    <cellStyle name="Note 12 9" xfId="18597" xr:uid="{00000000-0005-0000-0000-0000075F0000}"/>
    <cellStyle name="Note 12_Exh G" xfId="3585" xr:uid="{00000000-0005-0000-0000-0000085F0000}"/>
    <cellStyle name="Note 13" xfId="698" xr:uid="{00000000-0005-0000-0000-0000095F0000}"/>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3" xfId="24766" xr:uid="{00000000-0005-0000-0000-0000105F0000}"/>
    <cellStyle name="Note 13 2 2 2 2 3" xfId="13282" xr:uid="{00000000-0005-0000-0000-0000115F0000}"/>
    <cellStyle name="Note 13 2 2 2 2 4" xfId="21237" xr:uid="{00000000-0005-0000-0000-0000125F0000}"/>
    <cellStyle name="Note 13 2 2 2 3" xfId="7090" xr:uid="{00000000-0005-0000-0000-0000135F0000}"/>
    <cellStyle name="Note 13 2 2 2 3 2" xfId="15062" xr:uid="{00000000-0005-0000-0000-0000145F0000}"/>
    <cellStyle name="Note 13 2 2 2 3 3" xfId="23009" xr:uid="{00000000-0005-0000-0000-0000155F0000}"/>
    <cellStyle name="Note 13 2 2 2 4" xfId="11526" xr:uid="{00000000-0005-0000-0000-0000165F0000}"/>
    <cellStyle name="Note 13 2 2 2 5" xfId="19481" xr:uid="{00000000-0005-0000-0000-0000175F0000}"/>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3" xfId="23888" xr:uid="{00000000-0005-0000-0000-00001C5F0000}"/>
    <cellStyle name="Note 13 2 2 3 3" xfId="12404" xr:uid="{00000000-0005-0000-0000-00001D5F0000}"/>
    <cellStyle name="Note 13 2 2 3 4" xfId="20359" xr:uid="{00000000-0005-0000-0000-00001E5F0000}"/>
    <cellStyle name="Note 13 2 2 4" xfId="6199" xr:uid="{00000000-0005-0000-0000-00001F5F0000}"/>
    <cellStyle name="Note 13 2 2 4 2" xfId="14183" xr:uid="{00000000-0005-0000-0000-0000205F0000}"/>
    <cellStyle name="Note 13 2 2 4 3" xfId="22131" xr:uid="{00000000-0005-0000-0000-0000215F0000}"/>
    <cellStyle name="Note 13 2 2 5" xfId="9752" xr:uid="{00000000-0005-0000-0000-0000225F0000}"/>
    <cellStyle name="Note 13 2 2 5 2" xfId="17710" xr:uid="{00000000-0005-0000-0000-0000235F0000}"/>
    <cellStyle name="Note 13 2 2 5 3" xfId="25654" xr:uid="{00000000-0005-0000-0000-0000245F0000}"/>
    <cellStyle name="Note 13 2 2 6" xfId="10648" xr:uid="{00000000-0005-0000-0000-0000255F0000}"/>
    <cellStyle name="Note 13 2 2 7" xfId="18603" xr:uid="{00000000-0005-0000-0000-0000265F0000}"/>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3" xfId="24765" xr:uid="{00000000-0005-0000-0000-00002C5F0000}"/>
    <cellStyle name="Note 13 2 3 2 3" xfId="13281" xr:uid="{00000000-0005-0000-0000-00002D5F0000}"/>
    <cellStyle name="Note 13 2 3 2 4" xfId="21236" xr:uid="{00000000-0005-0000-0000-00002E5F0000}"/>
    <cellStyle name="Note 13 2 3 3" xfId="7089" xr:uid="{00000000-0005-0000-0000-00002F5F0000}"/>
    <cellStyle name="Note 13 2 3 3 2" xfId="15061" xr:uid="{00000000-0005-0000-0000-0000305F0000}"/>
    <cellStyle name="Note 13 2 3 3 3" xfId="23008" xr:uid="{00000000-0005-0000-0000-0000315F0000}"/>
    <cellStyle name="Note 13 2 3 4" xfId="11525" xr:uid="{00000000-0005-0000-0000-0000325F0000}"/>
    <cellStyle name="Note 13 2 3 5" xfId="19480" xr:uid="{00000000-0005-0000-0000-0000335F0000}"/>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3" xfId="23887" xr:uid="{00000000-0005-0000-0000-0000385F0000}"/>
    <cellStyle name="Note 13 2 4 3" xfId="12403" xr:uid="{00000000-0005-0000-0000-0000395F0000}"/>
    <cellStyle name="Note 13 2 4 4" xfId="20358" xr:uid="{00000000-0005-0000-0000-00003A5F0000}"/>
    <cellStyle name="Note 13 2 5" xfId="6198" xr:uid="{00000000-0005-0000-0000-00003B5F0000}"/>
    <cellStyle name="Note 13 2 5 2" xfId="14182" xr:uid="{00000000-0005-0000-0000-00003C5F0000}"/>
    <cellStyle name="Note 13 2 5 3" xfId="22130" xr:uid="{00000000-0005-0000-0000-00003D5F0000}"/>
    <cellStyle name="Note 13 2 6" xfId="9751" xr:uid="{00000000-0005-0000-0000-00003E5F0000}"/>
    <cellStyle name="Note 13 2 6 2" xfId="17709" xr:uid="{00000000-0005-0000-0000-00003F5F0000}"/>
    <cellStyle name="Note 13 2 6 3" xfId="25653" xr:uid="{00000000-0005-0000-0000-0000405F0000}"/>
    <cellStyle name="Note 13 2 7" xfId="10647" xr:uid="{00000000-0005-0000-0000-0000415F0000}"/>
    <cellStyle name="Note 13 2 8" xfId="18602" xr:uid="{00000000-0005-0000-0000-0000425F0000}"/>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3" xfId="24767" xr:uid="{00000000-0005-0000-0000-0000495F0000}"/>
    <cellStyle name="Note 13 3 2 2 3" xfId="13283" xr:uid="{00000000-0005-0000-0000-00004A5F0000}"/>
    <cellStyle name="Note 13 3 2 2 4" xfId="21238" xr:uid="{00000000-0005-0000-0000-00004B5F0000}"/>
    <cellStyle name="Note 13 3 2 3" xfId="7091" xr:uid="{00000000-0005-0000-0000-00004C5F0000}"/>
    <cellStyle name="Note 13 3 2 3 2" xfId="15063" xr:uid="{00000000-0005-0000-0000-00004D5F0000}"/>
    <cellStyle name="Note 13 3 2 3 3" xfId="23010" xr:uid="{00000000-0005-0000-0000-00004E5F0000}"/>
    <cellStyle name="Note 13 3 2 4" xfId="11527" xr:uid="{00000000-0005-0000-0000-00004F5F0000}"/>
    <cellStyle name="Note 13 3 2 5" xfId="19482" xr:uid="{00000000-0005-0000-0000-0000505F0000}"/>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3" xfId="23889" xr:uid="{00000000-0005-0000-0000-0000555F0000}"/>
    <cellStyle name="Note 13 3 3 3" xfId="12405" xr:uid="{00000000-0005-0000-0000-0000565F0000}"/>
    <cellStyle name="Note 13 3 3 4" xfId="20360" xr:uid="{00000000-0005-0000-0000-0000575F0000}"/>
    <cellStyle name="Note 13 3 4" xfId="6200" xr:uid="{00000000-0005-0000-0000-0000585F0000}"/>
    <cellStyle name="Note 13 3 4 2" xfId="14184" xr:uid="{00000000-0005-0000-0000-0000595F0000}"/>
    <cellStyle name="Note 13 3 4 3" xfId="22132" xr:uid="{00000000-0005-0000-0000-00005A5F0000}"/>
    <cellStyle name="Note 13 3 5" xfId="9753" xr:uid="{00000000-0005-0000-0000-00005B5F0000}"/>
    <cellStyle name="Note 13 3 5 2" xfId="17711" xr:uid="{00000000-0005-0000-0000-00005C5F0000}"/>
    <cellStyle name="Note 13 3 5 3" xfId="25655" xr:uid="{00000000-0005-0000-0000-00005D5F0000}"/>
    <cellStyle name="Note 13 3 6" xfId="10649" xr:uid="{00000000-0005-0000-0000-00005E5F0000}"/>
    <cellStyle name="Note 13 3 7" xfId="18604" xr:uid="{00000000-0005-0000-0000-00005F5F0000}"/>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3" xfId="24764" xr:uid="{00000000-0005-0000-0000-0000655F0000}"/>
    <cellStyle name="Note 13 4 2 3" xfId="13280" xr:uid="{00000000-0005-0000-0000-0000665F0000}"/>
    <cellStyle name="Note 13 4 2 4" xfId="21235" xr:uid="{00000000-0005-0000-0000-0000675F0000}"/>
    <cellStyle name="Note 13 4 3" xfId="7088" xr:uid="{00000000-0005-0000-0000-0000685F0000}"/>
    <cellStyle name="Note 13 4 3 2" xfId="15060" xr:uid="{00000000-0005-0000-0000-0000695F0000}"/>
    <cellStyle name="Note 13 4 3 3" xfId="23007" xr:uid="{00000000-0005-0000-0000-00006A5F0000}"/>
    <cellStyle name="Note 13 4 4" xfId="11524" xr:uid="{00000000-0005-0000-0000-00006B5F0000}"/>
    <cellStyle name="Note 13 4 5" xfId="19479" xr:uid="{00000000-0005-0000-0000-00006C5F000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3" xfId="23886" xr:uid="{00000000-0005-0000-0000-0000715F0000}"/>
    <cellStyle name="Note 13 5 3" xfId="12402" xr:uid="{00000000-0005-0000-0000-0000725F0000}"/>
    <cellStyle name="Note 13 5 4" xfId="20357" xr:uid="{00000000-0005-0000-0000-0000735F0000}"/>
    <cellStyle name="Note 13 6" xfId="6197" xr:uid="{00000000-0005-0000-0000-0000745F0000}"/>
    <cellStyle name="Note 13 6 2" xfId="14181" xr:uid="{00000000-0005-0000-0000-0000755F0000}"/>
    <cellStyle name="Note 13 6 3" xfId="22129" xr:uid="{00000000-0005-0000-0000-0000765F0000}"/>
    <cellStyle name="Note 13 7" xfId="9750" xr:uid="{00000000-0005-0000-0000-0000775F0000}"/>
    <cellStyle name="Note 13 7 2" xfId="17708" xr:uid="{00000000-0005-0000-0000-0000785F0000}"/>
    <cellStyle name="Note 13 7 3" xfId="25652" xr:uid="{00000000-0005-0000-0000-0000795F0000}"/>
    <cellStyle name="Note 13 8" xfId="10646" xr:uid="{00000000-0005-0000-0000-00007A5F0000}"/>
    <cellStyle name="Note 13 9" xfId="18601" xr:uid="{00000000-0005-0000-0000-00007B5F0000}"/>
    <cellStyle name="Note 13_Exh G" xfId="3593" xr:uid="{00000000-0005-0000-0000-00007C5F0000}"/>
    <cellStyle name="Note 14" xfId="702" xr:uid="{00000000-0005-0000-0000-00007D5F0000}"/>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3" xfId="24770" xr:uid="{00000000-0005-0000-0000-0000845F0000}"/>
    <cellStyle name="Note 14 2 2 2 2 3" xfId="13286" xr:uid="{00000000-0005-0000-0000-0000855F0000}"/>
    <cellStyle name="Note 14 2 2 2 2 4" xfId="21241" xr:uid="{00000000-0005-0000-0000-0000865F0000}"/>
    <cellStyle name="Note 14 2 2 2 3" xfId="7094" xr:uid="{00000000-0005-0000-0000-0000875F0000}"/>
    <cellStyle name="Note 14 2 2 2 3 2" xfId="15066" xr:uid="{00000000-0005-0000-0000-0000885F0000}"/>
    <cellStyle name="Note 14 2 2 2 3 3" xfId="23013" xr:uid="{00000000-0005-0000-0000-0000895F0000}"/>
    <cellStyle name="Note 14 2 2 2 4" xfId="11530" xr:uid="{00000000-0005-0000-0000-00008A5F0000}"/>
    <cellStyle name="Note 14 2 2 2 5" xfId="19485" xr:uid="{00000000-0005-0000-0000-00008B5F0000}"/>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3" xfId="23892" xr:uid="{00000000-0005-0000-0000-0000905F0000}"/>
    <cellStyle name="Note 14 2 2 3 3" xfId="12408" xr:uid="{00000000-0005-0000-0000-0000915F0000}"/>
    <cellStyle name="Note 14 2 2 3 4" xfId="20363" xr:uid="{00000000-0005-0000-0000-0000925F0000}"/>
    <cellStyle name="Note 14 2 2 4" xfId="6203" xr:uid="{00000000-0005-0000-0000-0000935F0000}"/>
    <cellStyle name="Note 14 2 2 4 2" xfId="14187" xr:uid="{00000000-0005-0000-0000-0000945F0000}"/>
    <cellStyle name="Note 14 2 2 4 3" xfId="22135" xr:uid="{00000000-0005-0000-0000-0000955F0000}"/>
    <cellStyle name="Note 14 2 2 5" xfId="9756" xr:uid="{00000000-0005-0000-0000-0000965F0000}"/>
    <cellStyle name="Note 14 2 2 5 2" xfId="17714" xr:uid="{00000000-0005-0000-0000-0000975F0000}"/>
    <cellStyle name="Note 14 2 2 5 3" xfId="25658" xr:uid="{00000000-0005-0000-0000-0000985F0000}"/>
    <cellStyle name="Note 14 2 2 6" xfId="10652" xr:uid="{00000000-0005-0000-0000-0000995F0000}"/>
    <cellStyle name="Note 14 2 2 7" xfId="18607" xr:uid="{00000000-0005-0000-0000-00009A5F0000}"/>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3" xfId="24769" xr:uid="{00000000-0005-0000-0000-0000A05F0000}"/>
    <cellStyle name="Note 14 2 3 2 3" xfId="13285" xr:uid="{00000000-0005-0000-0000-0000A15F0000}"/>
    <cellStyle name="Note 14 2 3 2 4" xfId="21240" xr:uid="{00000000-0005-0000-0000-0000A25F0000}"/>
    <cellStyle name="Note 14 2 3 3" xfId="7093" xr:uid="{00000000-0005-0000-0000-0000A35F0000}"/>
    <cellStyle name="Note 14 2 3 3 2" xfId="15065" xr:uid="{00000000-0005-0000-0000-0000A45F0000}"/>
    <cellStyle name="Note 14 2 3 3 3" xfId="23012" xr:uid="{00000000-0005-0000-0000-0000A55F0000}"/>
    <cellStyle name="Note 14 2 3 4" xfId="11529" xr:uid="{00000000-0005-0000-0000-0000A65F0000}"/>
    <cellStyle name="Note 14 2 3 5" xfId="19484" xr:uid="{00000000-0005-0000-0000-0000A75F0000}"/>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3" xfId="23891" xr:uid="{00000000-0005-0000-0000-0000AC5F0000}"/>
    <cellStyle name="Note 14 2 4 3" xfId="12407" xr:uid="{00000000-0005-0000-0000-0000AD5F0000}"/>
    <cellStyle name="Note 14 2 4 4" xfId="20362" xr:uid="{00000000-0005-0000-0000-0000AE5F0000}"/>
    <cellStyle name="Note 14 2 5" xfId="6202" xr:uid="{00000000-0005-0000-0000-0000AF5F0000}"/>
    <cellStyle name="Note 14 2 5 2" xfId="14186" xr:uid="{00000000-0005-0000-0000-0000B05F0000}"/>
    <cellStyle name="Note 14 2 5 3" xfId="22134" xr:uid="{00000000-0005-0000-0000-0000B15F0000}"/>
    <cellStyle name="Note 14 2 6" xfId="9755" xr:uid="{00000000-0005-0000-0000-0000B25F0000}"/>
    <cellStyle name="Note 14 2 6 2" xfId="17713" xr:uid="{00000000-0005-0000-0000-0000B35F0000}"/>
    <cellStyle name="Note 14 2 6 3" xfId="25657" xr:uid="{00000000-0005-0000-0000-0000B45F0000}"/>
    <cellStyle name="Note 14 2 7" xfId="10651" xr:uid="{00000000-0005-0000-0000-0000B55F0000}"/>
    <cellStyle name="Note 14 2 8" xfId="18606" xr:uid="{00000000-0005-0000-0000-0000B65F0000}"/>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3" xfId="24771" xr:uid="{00000000-0005-0000-0000-0000BD5F0000}"/>
    <cellStyle name="Note 14 3 2 2 3" xfId="13287" xr:uid="{00000000-0005-0000-0000-0000BE5F0000}"/>
    <cellStyle name="Note 14 3 2 2 4" xfId="21242" xr:uid="{00000000-0005-0000-0000-0000BF5F0000}"/>
    <cellStyle name="Note 14 3 2 3" xfId="7095" xr:uid="{00000000-0005-0000-0000-0000C05F0000}"/>
    <cellStyle name="Note 14 3 2 3 2" xfId="15067" xr:uid="{00000000-0005-0000-0000-0000C15F0000}"/>
    <cellStyle name="Note 14 3 2 3 3" xfId="23014" xr:uid="{00000000-0005-0000-0000-0000C25F0000}"/>
    <cellStyle name="Note 14 3 2 4" xfId="11531" xr:uid="{00000000-0005-0000-0000-0000C35F0000}"/>
    <cellStyle name="Note 14 3 2 5" xfId="19486" xr:uid="{00000000-0005-0000-0000-0000C45F0000}"/>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3" xfId="23893" xr:uid="{00000000-0005-0000-0000-0000C95F0000}"/>
    <cellStyle name="Note 14 3 3 3" xfId="12409" xr:uid="{00000000-0005-0000-0000-0000CA5F0000}"/>
    <cellStyle name="Note 14 3 3 4" xfId="20364" xr:uid="{00000000-0005-0000-0000-0000CB5F0000}"/>
    <cellStyle name="Note 14 3 4" xfId="6204" xr:uid="{00000000-0005-0000-0000-0000CC5F0000}"/>
    <cellStyle name="Note 14 3 4 2" xfId="14188" xr:uid="{00000000-0005-0000-0000-0000CD5F0000}"/>
    <cellStyle name="Note 14 3 4 3" xfId="22136" xr:uid="{00000000-0005-0000-0000-0000CE5F0000}"/>
    <cellStyle name="Note 14 3 5" xfId="9757" xr:uid="{00000000-0005-0000-0000-0000CF5F0000}"/>
    <cellStyle name="Note 14 3 5 2" xfId="17715" xr:uid="{00000000-0005-0000-0000-0000D05F0000}"/>
    <cellStyle name="Note 14 3 5 3" xfId="25659" xr:uid="{00000000-0005-0000-0000-0000D15F0000}"/>
    <cellStyle name="Note 14 3 6" xfId="10653" xr:uid="{00000000-0005-0000-0000-0000D25F0000}"/>
    <cellStyle name="Note 14 3 7" xfId="18608" xr:uid="{00000000-0005-0000-0000-0000D35F0000}"/>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3" xfId="24768" xr:uid="{00000000-0005-0000-0000-0000D95F0000}"/>
    <cellStyle name="Note 14 4 2 3" xfId="13284" xr:uid="{00000000-0005-0000-0000-0000DA5F0000}"/>
    <cellStyle name="Note 14 4 2 4" xfId="21239" xr:uid="{00000000-0005-0000-0000-0000DB5F0000}"/>
    <cellStyle name="Note 14 4 3" xfId="7092" xr:uid="{00000000-0005-0000-0000-0000DC5F0000}"/>
    <cellStyle name="Note 14 4 3 2" xfId="15064" xr:uid="{00000000-0005-0000-0000-0000DD5F0000}"/>
    <cellStyle name="Note 14 4 3 3" xfId="23011" xr:uid="{00000000-0005-0000-0000-0000DE5F0000}"/>
    <cellStyle name="Note 14 4 4" xfId="11528" xr:uid="{00000000-0005-0000-0000-0000DF5F0000}"/>
    <cellStyle name="Note 14 4 5" xfId="19483" xr:uid="{00000000-0005-0000-0000-0000E05F0000}"/>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3" xfId="23890" xr:uid="{00000000-0005-0000-0000-0000E55F0000}"/>
    <cellStyle name="Note 14 5 3" xfId="12406" xr:uid="{00000000-0005-0000-0000-0000E65F0000}"/>
    <cellStyle name="Note 14 5 4" xfId="20361" xr:uid="{00000000-0005-0000-0000-0000E75F0000}"/>
    <cellStyle name="Note 14 6" xfId="6201" xr:uid="{00000000-0005-0000-0000-0000E85F0000}"/>
    <cellStyle name="Note 14 6 2" xfId="14185" xr:uid="{00000000-0005-0000-0000-0000E95F0000}"/>
    <cellStyle name="Note 14 6 3" xfId="22133" xr:uid="{00000000-0005-0000-0000-0000EA5F0000}"/>
    <cellStyle name="Note 14 7" xfId="9754" xr:uid="{00000000-0005-0000-0000-0000EB5F0000}"/>
    <cellStyle name="Note 14 7 2" xfId="17712" xr:uid="{00000000-0005-0000-0000-0000EC5F0000}"/>
    <cellStyle name="Note 14 7 3" xfId="25656" xr:uid="{00000000-0005-0000-0000-0000ED5F0000}"/>
    <cellStyle name="Note 14 8" xfId="10650" xr:uid="{00000000-0005-0000-0000-0000EE5F0000}"/>
    <cellStyle name="Note 14 9" xfId="18605" xr:uid="{00000000-0005-0000-0000-0000EF5F0000}"/>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3" xfId="24772" xr:uid="{00000000-0005-0000-0000-0000F65F0000}"/>
    <cellStyle name="Note 15 2 2 3" xfId="13288" xr:uid="{00000000-0005-0000-0000-0000F75F0000}"/>
    <cellStyle name="Note 15 2 2 4" xfId="21243" xr:uid="{00000000-0005-0000-0000-0000F85F0000}"/>
    <cellStyle name="Note 15 2 3" xfId="7096" xr:uid="{00000000-0005-0000-0000-0000F95F0000}"/>
    <cellStyle name="Note 15 2 3 2" xfId="15068" xr:uid="{00000000-0005-0000-0000-0000FA5F0000}"/>
    <cellStyle name="Note 15 2 3 3" xfId="23015" xr:uid="{00000000-0005-0000-0000-0000FB5F0000}"/>
    <cellStyle name="Note 15 2 4" xfId="11532" xr:uid="{00000000-0005-0000-0000-0000FC5F0000}"/>
    <cellStyle name="Note 15 2 5" xfId="19487" xr:uid="{00000000-0005-0000-0000-0000FD5F0000}"/>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3" xfId="23894" xr:uid="{00000000-0005-0000-0000-000002600000}"/>
    <cellStyle name="Note 15 3 3" xfId="12410" xr:uid="{00000000-0005-0000-0000-000003600000}"/>
    <cellStyle name="Note 15 3 4" xfId="20365" xr:uid="{00000000-0005-0000-0000-000004600000}"/>
    <cellStyle name="Note 15 4" xfId="6205" xr:uid="{00000000-0005-0000-0000-000005600000}"/>
    <cellStyle name="Note 15 4 2" xfId="14189" xr:uid="{00000000-0005-0000-0000-000006600000}"/>
    <cellStyle name="Note 15 4 3" xfId="22137" xr:uid="{00000000-0005-0000-0000-000007600000}"/>
    <cellStyle name="Note 15 5" xfId="9758" xr:uid="{00000000-0005-0000-0000-000008600000}"/>
    <cellStyle name="Note 15 5 2" xfId="17716" xr:uid="{00000000-0005-0000-0000-000009600000}"/>
    <cellStyle name="Note 15 5 3" xfId="25660" xr:uid="{00000000-0005-0000-0000-00000A600000}"/>
    <cellStyle name="Note 15 6" xfId="10654" xr:uid="{00000000-0005-0000-0000-00000B600000}"/>
    <cellStyle name="Note 15 7" xfId="18609" xr:uid="{00000000-0005-0000-0000-00000C600000}"/>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3" xfId="24823" xr:uid="{00000000-0005-0000-0000-000013600000}"/>
    <cellStyle name="Note 16 2 2 3" xfId="13339" xr:uid="{00000000-0005-0000-0000-000014600000}"/>
    <cellStyle name="Note 16 2 2 4" xfId="21294" xr:uid="{00000000-0005-0000-0000-000015600000}"/>
    <cellStyle name="Note 16 2 3" xfId="7147" xr:uid="{00000000-0005-0000-0000-000016600000}"/>
    <cellStyle name="Note 16 2 3 2" xfId="15119" xr:uid="{00000000-0005-0000-0000-000017600000}"/>
    <cellStyle name="Note 16 2 3 3" xfId="23066" xr:uid="{00000000-0005-0000-0000-000018600000}"/>
    <cellStyle name="Note 16 2 4" xfId="11583" xr:uid="{00000000-0005-0000-0000-000019600000}"/>
    <cellStyle name="Note 16 2 5" xfId="19538" xr:uid="{00000000-0005-0000-0000-00001A600000}"/>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3" xfId="23945" xr:uid="{00000000-0005-0000-0000-00001F600000}"/>
    <cellStyle name="Note 16 3 3" xfId="12461" xr:uid="{00000000-0005-0000-0000-000020600000}"/>
    <cellStyle name="Note 16 3 4" xfId="20416" xr:uid="{00000000-0005-0000-0000-000021600000}"/>
    <cellStyle name="Note 16 4" xfId="6266" xr:uid="{00000000-0005-0000-0000-000022600000}"/>
    <cellStyle name="Note 16 4 2" xfId="14241" xr:uid="{00000000-0005-0000-0000-000023600000}"/>
    <cellStyle name="Note 16 4 3" xfId="22188" xr:uid="{00000000-0005-0000-0000-000024600000}"/>
    <cellStyle name="Note 16 5" xfId="9809" xr:uid="{00000000-0005-0000-0000-000025600000}"/>
    <cellStyle name="Note 16 5 2" xfId="17767" xr:uid="{00000000-0005-0000-0000-000026600000}"/>
    <cellStyle name="Note 16 5 3" xfId="25711" xr:uid="{00000000-0005-0000-0000-000027600000}"/>
    <cellStyle name="Note 16 6" xfId="10705" xr:uid="{00000000-0005-0000-0000-000028600000}"/>
    <cellStyle name="Note 16 7" xfId="18660" xr:uid="{00000000-0005-0000-0000-000029600000}"/>
    <cellStyle name="Note 16_Exh G" xfId="3611" xr:uid="{00000000-0005-0000-0000-00002A600000}"/>
    <cellStyle name="Note 2" xfId="22" xr:uid="{00000000-0005-0000-0000-00002B600000}"/>
    <cellStyle name="Note 2 10" xfId="17927" xr:uid="{00000000-0005-0000-0000-00002C600000}"/>
    <cellStyle name="Note 2 2" xfId="707" xr:uid="{00000000-0005-0000-0000-00002D600000}"/>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3" xfId="24774" xr:uid="{00000000-0005-0000-0000-000033600000}"/>
    <cellStyle name="Note 2 2 2 2 2 3" xfId="13290" xr:uid="{00000000-0005-0000-0000-000034600000}"/>
    <cellStyle name="Note 2 2 2 2 2 4" xfId="21245" xr:uid="{00000000-0005-0000-0000-000035600000}"/>
    <cellStyle name="Note 2 2 2 2 3" xfId="7098" xr:uid="{00000000-0005-0000-0000-000036600000}"/>
    <cellStyle name="Note 2 2 2 2 3 2" xfId="15070" xr:uid="{00000000-0005-0000-0000-000037600000}"/>
    <cellStyle name="Note 2 2 2 2 3 3" xfId="23017" xr:uid="{00000000-0005-0000-0000-000038600000}"/>
    <cellStyle name="Note 2 2 2 2 4" xfId="11534" xr:uid="{00000000-0005-0000-0000-000039600000}"/>
    <cellStyle name="Note 2 2 2 2 5" xfId="19489" xr:uid="{00000000-0005-0000-0000-00003A600000}"/>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3" xfId="23896" xr:uid="{00000000-0005-0000-0000-00003F600000}"/>
    <cellStyle name="Note 2 2 2 3 3" xfId="12412" xr:uid="{00000000-0005-0000-0000-000040600000}"/>
    <cellStyle name="Note 2 2 2 3 4" xfId="20367" xr:uid="{00000000-0005-0000-0000-000041600000}"/>
    <cellStyle name="Note 2 2 2 4" xfId="6207" xr:uid="{00000000-0005-0000-0000-000042600000}"/>
    <cellStyle name="Note 2 2 2 4 2" xfId="14191" xr:uid="{00000000-0005-0000-0000-000043600000}"/>
    <cellStyle name="Note 2 2 2 4 3" xfId="22139" xr:uid="{00000000-0005-0000-0000-000044600000}"/>
    <cellStyle name="Note 2 2 2 5" xfId="9760" xr:uid="{00000000-0005-0000-0000-000045600000}"/>
    <cellStyle name="Note 2 2 2 5 2" xfId="17718" xr:uid="{00000000-0005-0000-0000-000046600000}"/>
    <cellStyle name="Note 2 2 2 5 3" xfId="25662" xr:uid="{00000000-0005-0000-0000-000047600000}"/>
    <cellStyle name="Note 2 2 2 6" xfId="10656" xr:uid="{00000000-0005-0000-0000-000048600000}"/>
    <cellStyle name="Note 2 2 2 7" xfId="18611" xr:uid="{00000000-0005-0000-0000-000049600000}"/>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3" xfId="24957" xr:uid="{00000000-0005-0000-0000-000050600000}"/>
    <cellStyle name="Note 2 2 3 2 2 3" xfId="13473" xr:uid="{00000000-0005-0000-0000-000051600000}"/>
    <cellStyle name="Note 2 2 3 2 2 4" xfId="21428" xr:uid="{00000000-0005-0000-0000-000052600000}"/>
    <cellStyle name="Note 2 2 3 2 3" xfId="7281" xr:uid="{00000000-0005-0000-0000-000053600000}"/>
    <cellStyle name="Note 2 2 3 2 3 2" xfId="15253" xr:uid="{00000000-0005-0000-0000-000054600000}"/>
    <cellStyle name="Note 2 2 3 2 3 3" xfId="23200" xr:uid="{00000000-0005-0000-0000-000055600000}"/>
    <cellStyle name="Note 2 2 3 2 4" xfId="11717" xr:uid="{00000000-0005-0000-0000-000056600000}"/>
    <cellStyle name="Note 2 2 3 2 5" xfId="19672" xr:uid="{00000000-0005-0000-0000-000057600000}"/>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3" xfId="24079" xr:uid="{00000000-0005-0000-0000-00005C600000}"/>
    <cellStyle name="Note 2 2 3 3 3" xfId="12595" xr:uid="{00000000-0005-0000-0000-00005D600000}"/>
    <cellStyle name="Note 2 2 3 3 4" xfId="20550" xr:uid="{00000000-0005-0000-0000-00005E600000}"/>
    <cellStyle name="Note 2 2 3 4" xfId="6401" xr:uid="{00000000-0005-0000-0000-00005F600000}"/>
    <cellStyle name="Note 2 2 3 4 2" xfId="14375" xr:uid="{00000000-0005-0000-0000-000060600000}"/>
    <cellStyle name="Note 2 2 3 4 3" xfId="22322" xr:uid="{00000000-0005-0000-0000-000061600000}"/>
    <cellStyle name="Note 2 2 3 5" xfId="9943" xr:uid="{00000000-0005-0000-0000-000062600000}"/>
    <cellStyle name="Note 2 2 3 5 2" xfId="17901" xr:uid="{00000000-0005-0000-0000-000063600000}"/>
    <cellStyle name="Note 2 2 3 5 3" xfId="25845" xr:uid="{00000000-0005-0000-0000-000064600000}"/>
    <cellStyle name="Note 2 2 3 6" xfId="10839" xr:uid="{00000000-0005-0000-0000-000065600000}"/>
    <cellStyle name="Note 2 2 3 7" xfId="18794" xr:uid="{00000000-0005-0000-0000-000066600000}"/>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3" xfId="24773" xr:uid="{00000000-0005-0000-0000-00006C600000}"/>
    <cellStyle name="Note 2 2 4 2 3" xfId="13289" xr:uid="{00000000-0005-0000-0000-00006D600000}"/>
    <cellStyle name="Note 2 2 4 2 4" xfId="21244" xr:uid="{00000000-0005-0000-0000-00006E600000}"/>
    <cellStyle name="Note 2 2 4 3" xfId="7097" xr:uid="{00000000-0005-0000-0000-00006F600000}"/>
    <cellStyle name="Note 2 2 4 3 2" xfId="15069" xr:uid="{00000000-0005-0000-0000-000070600000}"/>
    <cellStyle name="Note 2 2 4 3 3" xfId="23016" xr:uid="{00000000-0005-0000-0000-000071600000}"/>
    <cellStyle name="Note 2 2 4 4" xfId="11533" xr:uid="{00000000-0005-0000-0000-000072600000}"/>
    <cellStyle name="Note 2 2 4 5" xfId="19488" xr:uid="{00000000-0005-0000-0000-000073600000}"/>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3" xfId="23895" xr:uid="{00000000-0005-0000-0000-000078600000}"/>
    <cellStyle name="Note 2 2 5 3" xfId="12411" xr:uid="{00000000-0005-0000-0000-000079600000}"/>
    <cellStyle name="Note 2 2 5 4" xfId="20366" xr:uid="{00000000-0005-0000-0000-00007A600000}"/>
    <cellStyle name="Note 2 2 6" xfId="6206" xr:uid="{00000000-0005-0000-0000-00007B600000}"/>
    <cellStyle name="Note 2 2 6 2" xfId="14190" xr:uid="{00000000-0005-0000-0000-00007C600000}"/>
    <cellStyle name="Note 2 2 6 3" xfId="22138" xr:uid="{00000000-0005-0000-0000-00007D600000}"/>
    <cellStyle name="Note 2 2 7" xfId="9759" xr:uid="{00000000-0005-0000-0000-00007E600000}"/>
    <cellStyle name="Note 2 2 7 2" xfId="17717" xr:uid="{00000000-0005-0000-0000-00007F600000}"/>
    <cellStyle name="Note 2 2 7 3" xfId="25661" xr:uid="{00000000-0005-0000-0000-000080600000}"/>
    <cellStyle name="Note 2 2 8" xfId="10655" xr:uid="{00000000-0005-0000-0000-000081600000}"/>
    <cellStyle name="Note 2 2 9" xfId="18610" xr:uid="{00000000-0005-0000-0000-000082600000}"/>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3" xfId="24775" xr:uid="{00000000-0005-0000-0000-000089600000}"/>
    <cellStyle name="Note 2 3 2 2 3" xfId="13291" xr:uid="{00000000-0005-0000-0000-00008A600000}"/>
    <cellStyle name="Note 2 3 2 2 4" xfId="21246" xr:uid="{00000000-0005-0000-0000-00008B600000}"/>
    <cellStyle name="Note 2 3 2 3" xfId="7099" xr:uid="{00000000-0005-0000-0000-00008C600000}"/>
    <cellStyle name="Note 2 3 2 3 2" xfId="15071" xr:uid="{00000000-0005-0000-0000-00008D600000}"/>
    <cellStyle name="Note 2 3 2 3 3" xfId="23018" xr:uid="{00000000-0005-0000-0000-00008E600000}"/>
    <cellStyle name="Note 2 3 2 4" xfId="11535" xr:uid="{00000000-0005-0000-0000-00008F600000}"/>
    <cellStyle name="Note 2 3 2 5" xfId="19490" xr:uid="{00000000-0005-0000-0000-000090600000}"/>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3" xfId="23897" xr:uid="{00000000-0005-0000-0000-000095600000}"/>
    <cellStyle name="Note 2 3 3 3" xfId="12413" xr:uid="{00000000-0005-0000-0000-000096600000}"/>
    <cellStyle name="Note 2 3 3 4" xfId="20368" xr:uid="{00000000-0005-0000-0000-000097600000}"/>
    <cellStyle name="Note 2 3 4" xfId="6208" xr:uid="{00000000-0005-0000-0000-000098600000}"/>
    <cellStyle name="Note 2 3 4 2" xfId="14192" xr:uid="{00000000-0005-0000-0000-000099600000}"/>
    <cellStyle name="Note 2 3 4 3" xfId="22140" xr:uid="{00000000-0005-0000-0000-00009A600000}"/>
    <cellStyle name="Note 2 3 5" xfId="9761" xr:uid="{00000000-0005-0000-0000-00009B600000}"/>
    <cellStyle name="Note 2 3 5 2" xfId="17719" xr:uid="{00000000-0005-0000-0000-00009C600000}"/>
    <cellStyle name="Note 2 3 5 3" xfId="25663" xr:uid="{00000000-0005-0000-0000-00009D600000}"/>
    <cellStyle name="Note 2 3 6" xfId="10657" xr:uid="{00000000-0005-0000-0000-00009E600000}"/>
    <cellStyle name="Note 2 3 7" xfId="18612" xr:uid="{00000000-0005-0000-0000-00009F600000}"/>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3" xfId="24956" xr:uid="{00000000-0005-0000-0000-0000A6600000}"/>
    <cellStyle name="Note 2 4 2 2 3" xfId="13472" xr:uid="{00000000-0005-0000-0000-0000A7600000}"/>
    <cellStyle name="Note 2 4 2 2 4" xfId="21427" xr:uid="{00000000-0005-0000-0000-0000A8600000}"/>
    <cellStyle name="Note 2 4 2 3" xfId="7280" xr:uid="{00000000-0005-0000-0000-0000A9600000}"/>
    <cellStyle name="Note 2 4 2 3 2" xfId="15252" xr:uid="{00000000-0005-0000-0000-0000AA600000}"/>
    <cellStyle name="Note 2 4 2 3 3" xfId="23199" xr:uid="{00000000-0005-0000-0000-0000AB600000}"/>
    <cellStyle name="Note 2 4 2 4" xfId="11716" xr:uid="{00000000-0005-0000-0000-0000AC600000}"/>
    <cellStyle name="Note 2 4 2 5" xfId="19671" xr:uid="{00000000-0005-0000-0000-0000AD600000}"/>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3" xfId="24078" xr:uid="{00000000-0005-0000-0000-0000B2600000}"/>
    <cellStyle name="Note 2 4 3 3" xfId="12594" xr:uid="{00000000-0005-0000-0000-0000B3600000}"/>
    <cellStyle name="Note 2 4 3 4" xfId="20549" xr:uid="{00000000-0005-0000-0000-0000B4600000}"/>
    <cellStyle name="Note 2 4 4" xfId="6400" xr:uid="{00000000-0005-0000-0000-0000B5600000}"/>
    <cellStyle name="Note 2 4 4 2" xfId="14374" xr:uid="{00000000-0005-0000-0000-0000B6600000}"/>
    <cellStyle name="Note 2 4 4 3" xfId="22321" xr:uid="{00000000-0005-0000-0000-0000B7600000}"/>
    <cellStyle name="Note 2 4 5" xfId="9942" xr:uid="{00000000-0005-0000-0000-0000B8600000}"/>
    <cellStyle name="Note 2 4 5 2" xfId="17900" xr:uid="{00000000-0005-0000-0000-0000B9600000}"/>
    <cellStyle name="Note 2 4 5 3" xfId="25844" xr:uid="{00000000-0005-0000-0000-0000BA600000}"/>
    <cellStyle name="Note 2 4 6" xfId="10838" xr:uid="{00000000-0005-0000-0000-0000BB600000}"/>
    <cellStyle name="Note 2 4 7" xfId="18793" xr:uid="{00000000-0005-0000-0000-0000BC600000}"/>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3" xfId="24090" xr:uid="{00000000-0005-0000-0000-0000C2600000}"/>
    <cellStyle name="Note 2 5 2 3" xfId="12606" xr:uid="{00000000-0005-0000-0000-0000C3600000}"/>
    <cellStyle name="Note 2 5 2 4" xfId="20561" xr:uid="{00000000-0005-0000-0000-0000C4600000}"/>
    <cellStyle name="Note 2 5 3" xfId="6414" xr:uid="{00000000-0005-0000-0000-0000C5600000}"/>
    <cellStyle name="Note 2 5 3 2" xfId="14386" xr:uid="{00000000-0005-0000-0000-0000C6600000}"/>
    <cellStyle name="Note 2 5 3 3" xfId="22333" xr:uid="{00000000-0005-0000-0000-0000C7600000}"/>
    <cellStyle name="Note 2 5 4" xfId="10850" xr:uid="{00000000-0005-0000-0000-0000C8600000}"/>
    <cellStyle name="Note 2 5 5" xfId="18805" xr:uid="{00000000-0005-0000-0000-0000C9600000}"/>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3" xfId="23212" xr:uid="{00000000-0005-0000-0000-0000CE600000}"/>
    <cellStyle name="Note 2 6 3" xfId="11728" xr:uid="{00000000-0005-0000-0000-0000CF600000}"/>
    <cellStyle name="Note 2 6 4" xfId="19683" xr:uid="{00000000-0005-0000-0000-0000D0600000}"/>
    <cellStyle name="Note 2 7" xfId="5523" xr:uid="{00000000-0005-0000-0000-0000D1600000}"/>
    <cellStyle name="Note 2 7 2" xfId="13507" xr:uid="{00000000-0005-0000-0000-0000D2600000}"/>
    <cellStyle name="Note 2 7 3" xfId="21455" xr:uid="{00000000-0005-0000-0000-0000D3600000}"/>
    <cellStyle name="Note 2 8" xfId="9076" xr:uid="{00000000-0005-0000-0000-0000D4600000}"/>
    <cellStyle name="Note 2 8 2" xfId="17034" xr:uid="{00000000-0005-0000-0000-0000D5600000}"/>
    <cellStyle name="Note 2 8 3" xfId="24978" xr:uid="{00000000-0005-0000-0000-0000D6600000}"/>
    <cellStyle name="Note 2 9" xfId="9972" xr:uid="{00000000-0005-0000-0000-0000D7600000}"/>
    <cellStyle name="Note 2_Exh G" xfId="3613" xr:uid="{00000000-0005-0000-0000-0000D8600000}"/>
    <cellStyle name="Note 3" xfId="710" xr:uid="{00000000-0005-0000-0000-0000D9600000}"/>
    <cellStyle name="Note 3 10" xfId="18613" xr:uid="{00000000-0005-0000-0000-0000DA600000}"/>
    <cellStyle name="Note 3 2" xfId="711" xr:uid="{00000000-0005-0000-0000-0000DB600000}"/>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3" xfId="24778" xr:uid="{00000000-0005-0000-0000-0000E1600000}"/>
    <cellStyle name="Note 3 2 2 2 2 3" xfId="13294" xr:uid="{00000000-0005-0000-0000-0000E2600000}"/>
    <cellStyle name="Note 3 2 2 2 2 4" xfId="21249" xr:uid="{00000000-0005-0000-0000-0000E3600000}"/>
    <cellStyle name="Note 3 2 2 2 3" xfId="7102" xr:uid="{00000000-0005-0000-0000-0000E4600000}"/>
    <cellStyle name="Note 3 2 2 2 3 2" xfId="15074" xr:uid="{00000000-0005-0000-0000-0000E5600000}"/>
    <cellStyle name="Note 3 2 2 2 3 3" xfId="23021" xr:uid="{00000000-0005-0000-0000-0000E6600000}"/>
    <cellStyle name="Note 3 2 2 2 4" xfId="11538" xr:uid="{00000000-0005-0000-0000-0000E7600000}"/>
    <cellStyle name="Note 3 2 2 2 5" xfId="19493" xr:uid="{00000000-0005-0000-0000-0000E8600000}"/>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3" xfId="23900" xr:uid="{00000000-0005-0000-0000-0000ED600000}"/>
    <cellStyle name="Note 3 2 2 3 3" xfId="12416" xr:uid="{00000000-0005-0000-0000-0000EE600000}"/>
    <cellStyle name="Note 3 2 2 3 4" xfId="20371" xr:uid="{00000000-0005-0000-0000-0000EF600000}"/>
    <cellStyle name="Note 3 2 2 4" xfId="6211" xr:uid="{00000000-0005-0000-0000-0000F0600000}"/>
    <cellStyle name="Note 3 2 2 4 2" xfId="14195" xr:uid="{00000000-0005-0000-0000-0000F1600000}"/>
    <cellStyle name="Note 3 2 2 4 3" xfId="22143" xr:uid="{00000000-0005-0000-0000-0000F2600000}"/>
    <cellStyle name="Note 3 2 2 5" xfId="9764" xr:uid="{00000000-0005-0000-0000-0000F3600000}"/>
    <cellStyle name="Note 3 2 2 5 2" xfId="17722" xr:uid="{00000000-0005-0000-0000-0000F4600000}"/>
    <cellStyle name="Note 3 2 2 5 3" xfId="25666" xr:uid="{00000000-0005-0000-0000-0000F5600000}"/>
    <cellStyle name="Note 3 2 2 6" xfId="10660" xr:uid="{00000000-0005-0000-0000-0000F6600000}"/>
    <cellStyle name="Note 3 2 2 7" xfId="18615" xr:uid="{00000000-0005-0000-0000-0000F7600000}"/>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3" xfId="24959" xr:uid="{00000000-0005-0000-0000-0000FE600000}"/>
    <cellStyle name="Note 3 2 3 2 2 3" xfId="13475" xr:uid="{00000000-0005-0000-0000-0000FF600000}"/>
    <cellStyle name="Note 3 2 3 2 2 4" xfId="21430" xr:uid="{00000000-0005-0000-0000-000000610000}"/>
    <cellStyle name="Note 3 2 3 2 3" xfId="7283" xr:uid="{00000000-0005-0000-0000-000001610000}"/>
    <cellStyle name="Note 3 2 3 2 3 2" xfId="15255" xr:uid="{00000000-0005-0000-0000-000002610000}"/>
    <cellStyle name="Note 3 2 3 2 3 3" xfId="23202" xr:uid="{00000000-0005-0000-0000-000003610000}"/>
    <cellStyle name="Note 3 2 3 2 4" xfId="11719" xr:uid="{00000000-0005-0000-0000-000004610000}"/>
    <cellStyle name="Note 3 2 3 2 5" xfId="19674" xr:uid="{00000000-0005-0000-0000-000005610000}"/>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3" xfId="24081" xr:uid="{00000000-0005-0000-0000-00000A610000}"/>
    <cellStyle name="Note 3 2 3 3 3" xfId="12597" xr:uid="{00000000-0005-0000-0000-00000B610000}"/>
    <cellStyle name="Note 3 2 3 3 4" xfId="20552" xr:uid="{00000000-0005-0000-0000-00000C610000}"/>
    <cellStyle name="Note 3 2 3 4" xfId="6403" xr:uid="{00000000-0005-0000-0000-00000D610000}"/>
    <cellStyle name="Note 3 2 3 4 2" xfId="14377" xr:uid="{00000000-0005-0000-0000-00000E610000}"/>
    <cellStyle name="Note 3 2 3 4 3" xfId="22324" xr:uid="{00000000-0005-0000-0000-00000F610000}"/>
    <cellStyle name="Note 3 2 3 5" xfId="9945" xr:uid="{00000000-0005-0000-0000-000010610000}"/>
    <cellStyle name="Note 3 2 3 5 2" xfId="17903" xr:uid="{00000000-0005-0000-0000-000011610000}"/>
    <cellStyle name="Note 3 2 3 5 3" xfId="25847" xr:uid="{00000000-0005-0000-0000-000012610000}"/>
    <cellStyle name="Note 3 2 3 6" xfId="10841" xr:uid="{00000000-0005-0000-0000-000013610000}"/>
    <cellStyle name="Note 3 2 3 7" xfId="18796" xr:uid="{00000000-0005-0000-0000-000014610000}"/>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3" xfId="24777" xr:uid="{00000000-0005-0000-0000-00001A610000}"/>
    <cellStyle name="Note 3 2 4 2 3" xfId="13293" xr:uid="{00000000-0005-0000-0000-00001B610000}"/>
    <cellStyle name="Note 3 2 4 2 4" xfId="21248" xr:uid="{00000000-0005-0000-0000-00001C610000}"/>
    <cellStyle name="Note 3 2 4 3" xfId="7101" xr:uid="{00000000-0005-0000-0000-00001D610000}"/>
    <cellStyle name="Note 3 2 4 3 2" xfId="15073" xr:uid="{00000000-0005-0000-0000-00001E610000}"/>
    <cellStyle name="Note 3 2 4 3 3" xfId="23020" xr:uid="{00000000-0005-0000-0000-00001F610000}"/>
    <cellStyle name="Note 3 2 4 4" xfId="11537" xr:uid="{00000000-0005-0000-0000-000020610000}"/>
    <cellStyle name="Note 3 2 4 5" xfId="19492" xr:uid="{00000000-0005-0000-0000-000021610000}"/>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3" xfId="23899" xr:uid="{00000000-0005-0000-0000-000026610000}"/>
    <cellStyle name="Note 3 2 5 3" xfId="12415" xr:uid="{00000000-0005-0000-0000-000027610000}"/>
    <cellStyle name="Note 3 2 5 4" xfId="20370" xr:uid="{00000000-0005-0000-0000-000028610000}"/>
    <cellStyle name="Note 3 2 6" xfId="6210" xr:uid="{00000000-0005-0000-0000-000029610000}"/>
    <cellStyle name="Note 3 2 6 2" xfId="14194" xr:uid="{00000000-0005-0000-0000-00002A610000}"/>
    <cellStyle name="Note 3 2 6 3" xfId="22142" xr:uid="{00000000-0005-0000-0000-00002B610000}"/>
    <cellStyle name="Note 3 2 7" xfId="9763" xr:uid="{00000000-0005-0000-0000-00002C610000}"/>
    <cellStyle name="Note 3 2 7 2" xfId="17721" xr:uid="{00000000-0005-0000-0000-00002D610000}"/>
    <cellStyle name="Note 3 2 7 3" xfId="25665" xr:uid="{00000000-0005-0000-0000-00002E610000}"/>
    <cellStyle name="Note 3 2 8" xfId="10659" xr:uid="{00000000-0005-0000-0000-00002F610000}"/>
    <cellStyle name="Note 3 2 9" xfId="18614" xr:uid="{00000000-0005-0000-0000-000030610000}"/>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3" xfId="24779" xr:uid="{00000000-0005-0000-0000-000037610000}"/>
    <cellStyle name="Note 3 3 2 2 3" xfId="13295" xr:uid="{00000000-0005-0000-0000-000038610000}"/>
    <cellStyle name="Note 3 3 2 2 4" xfId="21250" xr:uid="{00000000-0005-0000-0000-000039610000}"/>
    <cellStyle name="Note 3 3 2 3" xfId="7103" xr:uid="{00000000-0005-0000-0000-00003A610000}"/>
    <cellStyle name="Note 3 3 2 3 2" xfId="15075" xr:uid="{00000000-0005-0000-0000-00003B610000}"/>
    <cellStyle name="Note 3 3 2 3 3" xfId="23022" xr:uid="{00000000-0005-0000-0000-00003C610000}"/>
    <cellStyle name="Note 3 3 2 4" xfId="11539" xr:uid="{00000000-0005-0000-0000-00003D610000}"/>
    <cellStyle name="Note 3 3 2 5" xfId="19494" xr:uid="{00000000-0005-0000-0000-00003E610000}"/>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3" xfId="23901" xr:uid="{00000000-0005-0000-0000-000043610000}"/>
    <cellStyle name="Note 3 3 3 3" xfId="12417" xr:uid="{00000000-0005-0000-0000-000044610000}"/>
    <cellStyle name="Note 3 3 3 4" xfId="20372" xr:uid="{00000000-0005-0000-0000-000045610000}"/>
    <cellStyle name="Note 3 3 4" xfId="6212" xr:uid="{00000000-0005-0000-0000-000046610000}"/>
    <cellStyle name="Note 3 3 4 2" xfId="14196" xr:uid="{00000000-0005-0000-0000-000047610000}"/>
    <cellStyle name="Note 3 3 4 3" xfId="22144" xr:uid="{00000000-0005-0000-0000-000048610000}"/>
    <cellStyle name="Note 3 3 5" xfId="9765" xr:uid="{00000000-0005-0000-0000-000049610000}"/>
    <cellStyle name="Note 3 3 5 2" xfId="17723" xr:uid="{00000000-0005-0000-0000-00004A610000}"/>
    <cellStyle name="Note 3 3 5 3" xfId="25667" xr:uid="{00000000-0005-0000-0000-00004B610000}"/>
    <cellStyle name="Note 3 3 6" xfId="10661" xr:uid="{00000000-0005-0000-0000-00004C610000}"/>
    <cellStyle name="Note 3 3 7" xfId="18616" xr:uid="{00000000-0005-0000-0000-00004D610000}"/>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3" xfId="24958" xr:uid="{00000000-0005-0000-0000-000054610000}"/>
    <cellStyle name="Note 3 4 2 2 3" xfId="13474" xr:uid="{00000000-0005-0000-0000-000055610000}"/>
    <cellStyle name="Note 3 4 2 2 4" xfId="21429" xr:uid="{00000000-0005-0000-0000-000056610000}"/>
    <cellStyle name="Note 3 4 2 3" xfId="7282" xr:uid="{00000000-0005-0000-0000-000057610000}"/>
    <cellStyle name="Note 3 4 2 3 2" xfId="15254" xr:uid="{00000000-0005-0000-0000-000058610000}"/>
    <cellStyle name="Note 3 4 2 3 3" xfId="23201" xr:uid="{00000000-0005-0000-0000-000059610000}"/>
    <cellStyle name="Note 3 4 2 4" xfId="11718" xr:uid="{00000000-0005-0000-0000-00005A610000}"/>
    <cellStyle name="Note 3 4 2 5" xfId="19673" xr:uid="{00000000-0005-0000-0000-00005B610000}"/>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3" xfId="24080" xr:uid="{00000000-0005-0000-0000-000060610000}"/>
    <cellStyle name="Note 3 4 3 3" xfId="12596" xr:uid="{00000000-0005-0000-0000-000061610000}"/>
    <cellStyle name="Note 3 4 3 4" xfId="20551" xr:uid="{00000000-0005-0000-0000-000062610000}"/>
    <cellStyle name="Note 3 4 4" xfId="6402" xr:uid="{00000000-0005-0000-0000-000063610000}"/>
    <cellStyle name="Note 3 4 4 2" xfId="14376" xr:uid="{00000000-0005-0000-0000-000064610000}"/>
    <cellStyle name="Note 3 4 4 3" xfId="22323" xr:uid="{00000000-0005-0000-0000-000065610000}"/>
    <cellStyle name="Note 3 4 5" xfId="9944" xr:uid="{00000000-0005-0000-0000-000066610000}"/>
    <cellStyle name="Note 3 4 5 2" xfId="17902" xr:uid="{00000000-0005-0000-0000-000067610000}"/>
    <cellStyle name="Note 3 4 5 3" xfId="25846" xr:uid="{00000000-0005-0000-0000-000068610000}"/>
    <cellStyle name="Note 3 4 6" xfId="10840" xr:uid="{00000000-0005-0000-0000-000069610000}"/>
    <cellStyle name="Note 3 4 7" xfId="18795" xr:uid="{00000000-0005-0000-0000-00006A610000}"/>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3" xfId="24776" xr:uid="{00000000-0005-0000-0000-000070610000}"/>
    <cellStyle name="Note 3 5 2 3" xfId="13292" xr:uid="{00000000-0005-0000-0000-000071610000}"/>
    <cellStyle name="Note 3 5 2 4" xfId="21247" xr:uid="{00000000-0005-0000-0000-000072610000}"/>
    <cellStyle name="Note 3 5 3" xfId="7100" xr:uid="{00000000-0005-0000-0000-000073610000}"/>
    <cellStyle name="Note 3 5 3 2" xfId="15072" xr:uid="{00000000-0005-0000-0000-000074610000}"/>
    <cellStyle name="Note 3 5 3 3" xfId="23019" xr:uid="{00000000-0005-0000-0000-000075610000}"/>
    <cellStyle name="Note 3 5 4" xfId="11536" xr:uid="{00000000-0005-0000-0000-000076610000}"/>
    <cellStyle name="Note 3 5 5" xfId="19491" xr:uid="{00000000-0005-0000-0000-000077610000}"/>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3" xfId="23898" xr:uid="{00000000-0005-0000-0000-00007C610000}"/>
    <cellStyle name="Note 3 6 3" xfId="12414" xr:uid="{00000000-0005-0000-0000-00007D610000}"/>
    <cellStyle name="Note 3 6 4" xfId="20369" xr:uid="{00000000-0005-0000-0000-00007E610000}"/>
    <cellStyle name="Note 3 7" xfId="6209" xr:uid="{00000000-0005-0000-0000-00007F610000}"/>
    <cellStyle name="Note 3 7 2" xfId="14193" xr:uid="{00000000-0005-0000-0000-000080610000}"/>
    <cellStyle name="Note 3 7 3" xfId="22141" xr:uid="{00000000-0005-0000-0000-000081610000}"/>
    <cellStyle name="Note 3 8" xfId="9762" xr:uid="{00000000-0005-0000-0000-000082610000}"/>
    <cellStyle name="Note 3 8 2" xfId="17720" xr:uid="{00000000-0005-0000-0000-000083610000}"/>
    <cellStyle name="Note 3 8 3" xfId="25664" xr:uid="{00000000-0005-0000-0000-000084610000}"/>
    <cellStyle name="Note 3 9" xfId="10658" xr:uid="{00000000-0005-0000-0000-000085610000}"/>
    <cellStyle name="Note 3_Exh G" xfId="3625" xr:uid="{00000000-0005-0000-0000-000086610000}"/>
    <cellStyle name="Note 4" xfId="714" xr:uid="{00000000-0005-0000-0000-000087610000}"/>
    <cellStyle name="Note 4 10" xfId="18617" xr:uid="{00000000-0005-0000-0000-000088610000}"/>
    <cellStyle name="Note 4 2" xfId="715" xr:uid="{00000000-0005-0000-0000-000089610000}"/>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3" xfId="24782" xr:uid="{00000000-0005-0000-0000-00008F610000}"/>
    <cellStyle name="Note 4 2 2 2 2 3" xfId="13298" xr:uid="{00000000-0005-0000-0000-000090610000}"/>
    <cellStyle name="Note 4 2 2 2 2 4" xfId="21253" xr:uid="{00000000-0005-0000-0000-000091610000}"/>
    <cellStyle name="Note 4 2 2 2 3" xfId="7106" xr:uid="{00000000-0005-0000-0000-000092610000}"/>
    <cellStyle name="Note 4 2 2 2 3 2" xfId="15078" xr:uid="{00000000-0005-0000-0000-000093610000}"/>
    <cellStyle name="Note 4 2 2 2 3 3" xfId="23025" xr:uid="{00000000-0005-0000-0000-000094610000}"/>
    <cellStyle name="Note 4 2 2 2 4" xfId="11542" xr:uid="{00000000-0005-0000-0000-000095610000}"/>
    <cellStyle name="Note 4 2 2 2 5" xfId="19497" xr:uid="{00000000-0005-0000-0000-000096610000}"/>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3" xfId="23904" xr:uid="{00000000-0005-0000-0000-00009B610000}"/>
    <cellStyle name="Note 4 2 2 3 3" xfId="12420" xr:uid="{00000000-0005-0000-0000-00009C610000}"/>
    <cellStyle name="Note 4 2 2 3 4" xfId="20375" xr:uid="{00000000-0005-0000-0000-00009D610000}"/>
    <cellStyle name="Note 4 2 2 4" xfId="6215" xr:uid="{00000000-0005-0000-0000-00009E610000}"/>
    <cellStyle name="Note 4 2 2 4 2" xfId="14199" xr:uid="{00000000-0005-0000-0000-00009F610000}"/>
    <cellStyle name="Note 4 2 2 4 3" xfId="22147" xr:uid="{00000000-0005-0000-0000-0000A0610000}"/>
    <cellStyle name="Note 4 2 2 5" xfId="9768" xr:uid="{00000000-0005-0000-0000-0000A1610000}"/>
    <cellStyle name="Note 4 2 2 5 2" xfId="17726" xr:uid="{00000000-0005-0000-0000-0000A2610000}"/>
    <cellStyle name="Note 4 2 2 5 3" xfId="25670" xr:uid="{00000000-0005-0000-0000-0000A3610000}"/>
    <cellStyle name="Note 4 2 2 6" xfId="10664" xr:uid="{00000000-0005-0000-0000-0000A4610000}"/>
    <cellStyle name="Note 4 2 2 7" xfId="18619" xr:uid="{00000000-0005-0000-0000-0000A5610000}"/>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3" xfId="24961" xr:uid="{00000000-0005-0000-0000-0000AC610000}"/>
    <cellStyle name="Note 4 2 3 2 2 3" xfId="13477" xr:uid="{00000000-0005-0000-0000-0000AD610000}"/>
    <cellStyle name="Note 4 2 3 2 2 4" xfId="21432" xr:uid="{00000000-0005-0000-0000-0000AE610000}"/>
    <cellStyle name="Note 4 2 3 2 3" xfId="7285" xr:uid="{00000000-0005-0000-0000-0000AF610000}"/>
    <cellStyle name="Note 4 2 3 2 3 2" xfId="15257" xr:uid="{00000000-0005-0000-0000-0000B0610000}"/>
    <cellStyle name="Note 4 2 3 2 3 3" xfId="23204" xr:uid="{00000000-0005-0000-0000-0000B1610000}"/>
    <cellStyle name="Note 4 2 3 2 4" xfId="11721" xr:uid="{00000000-0005-0000-0000-0000B2610000}"/>
    <cellStyle name="Note 4 2 3 2 5" xfId="19676" xr:uid="{00000000-0005-0000-0000-0000B3610000}"/>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3" xfId="24083" xr:uid="{00000000-0005-0000-0000-0000B8610000}"/>
    <cellStyle name="Note 4 2 3 3 3" xfId="12599" xr:uid="{00000000-0005-0000-0000-0000B9610000}"/>
    <cellStyle name="Note 4 2 3 3 4" xfId="20554" xr:uid="{00000000-0005-0000-0000-0000BA610000}"/>
    <cellStyle name="Note 4 2 3 4" xfId="6405" xr:uid="{00000000-0005-0000-0000-0000BB610000}"/>
    <cellStyle name="Note 4 2 3 4 2" xfId="14379" xr:uid="{00000000-0005-0000-0000-0000BC610000}"/>
    <cellStyle name="Note 4 2 3 4 3" xfId="22326" xr:uid="{00000000-0005-0000-0000-0000BD610000}"/>
    <cellStyle name="Note 4 2 3 5" xfId="9947" xr:uid="{00000000-0005-0000-0000-0000BE610000}"/>
    <cellStyle name="Note 4 2 3 5 2" xfId="17905" xr:uid="{00000000-0005-0000-0000-0000BF610000}"/>
    <cellStyle name="Note 4 2 3 5 3" xfId="25849" xr:uid="{00000000-0005-0000-0000-0000C0610000}"/>
    <cellStyle name="Note 4 2 3 6" xfId="10843" xr:uid="{00000000-0005-0000-0000-0000C1610000}"/>
    <cellStyle name="Note 4 2 3 7" xfId="18798" xr:uid="{00000000-0005-0000-0000-0000C2610000}"/>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3" xfId="24781" xr:uid="{00000000-0005-0000-0000-0000C8610000}"/>
    <cellStyle name="Note 4 2 4 2 3" xfId="13297" xr:uid="{00000000-0005-0000-0000-0000C9610000}"/>
    <cellStyle name="Note 4 2 4 2 4" xfId="21252" xr:uid="{00000000-0005-0000-0000-0000CA610000}"/>
    <cellStyle name="Note 4 2 4 3" xfId="7105" xr:uid="{00000000-0005-0000-0000-0000CB610000}"/>
    <cellStyle name="Note 4 2 4 3 2" xfId="15077" xr:uid="{00000000-0005-0000-0000-0000CC610000}"/>
    <cellStyle name="Note 4 2 4 3 3" xfId="23024" xr:uid="{00000000-0005-0000-0000-0000CD610000}"/>
    <cellStyle name="Note 4 2 4 4" xfId="11541" xr:uid="{00000000-0005-0000-0000-0000CE610000}"/>
    <cellStyle name="Note 4 2 4 5" xfId="19496" xr:uid="{00000000-0005-0000-0000-0000CF610000}"/>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3" xfId="23903" xr:uid="{00000000-0005-0000-0000-0000D4610000}"/>
    <cellStyle name="Note 4 2 5 3" xfId="12419" xr:uid="{00000000-0005-0000-0000-0000D5610000}"/>
    <cellStyle name="Note 4 2 5 4" xfId="20374" xr:uid="{00000000-0005-0000-0000-0000D6610000}"/>
    <cellStyle name="Note 4 2 6" xfId="6214" xr:uid="{00000000-0005-0000-0000-0000D7610000}"/>
    <cellStyle name="Note 4 2 6 2" xfId="14198" xr:uid="{00000000-0005-0000-0000-0000D8610000}"/>
    <cellStyle name="Note 4 2 6 3" xfId="22146" xr:uid="{00000000-0005-0000-0000-0000D9610000}"/>
    <cellStyle name="Note 4 2 7" xfId="9767" xr:uid="{00000000-0005-0000-0000-0000DA610000}"/>
    <cellStyle name="Note 4 2 7 2" xfId="17725" xr:uid="{00000000-0005-0000-0000-0000DB610000}"/>
    <cellStyle name="Note 4 2 7 3" xfId="25669" xr:uid="{00000000-0005-0000-0000-0000DC610000}"/>
    <cellStyle name="Note 4 2 8" xfId="10663" xr:uid="{00000000-0005-0000-0000-0000DD610000}"/>
    <cellStyle name="Note 4 2 9" xfId="18618" xr:uid="{00000000-0005-0000-0000-0000DE610000}"/>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3" xfId="24783" xr:uid="{00000000-0005-0000-0000-0000E5610000}"/>
    <cellStyle name="Note 4 3 2 2 3" xfId="13299" xr:uid="{00000000-0005-0000-0000-0000E6610000}"/>
    <cellStyle name="Note 4 3 2 2 4" xfId="21254" xr:uid="{00000000-0005-0000-0000-0000E7610000}"/>
    <cellStyle name="Note 4 3 2 3" xfId="7107" xr:uid="{00000000-0005-0000-0000-0000E8610000}"/>
    <cellStyle name="Note 4 3 2 3 2" xfId="15079" xr:uid="{00000000-0005-0000-0000-0000E9610000}"/>
    <cellStyle name="Note 4 3 2 3 3" xfId="23026" xr:uid="{00000000-0005-0000-0000-0000EA610000}"/>
    <cellStyle name="Note 4 3 2 4" xfId="11543" xr:uid="{00000000-0005-0000-0000-0000EB610000}"/>
    <cellStyle name="Note 4 3 2 5" xfId="19498" xr:uid="{00000000-0005-0000-0000-0000EC610000}"/>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3" xfId="23905" xr:uid="{00000000-0005-0000-0000-0000F1610000}"/>
    <cellStyle name="Note 4 3 3 3" xfId="12421" xr:uid="{00000000-0005-0000-0000-0000F2610000}"/>
    <cellStyle name="Note 4 3 3 4" xfId="20376" xr:uid="{00000000-0005-0000-0000-0000F3610000}"/>
    <cellStyle name="Note 4 3 4" xfId="6216" xr:uid="{00000000-0005-0000-0000-0000F4610000}"/>
    <cellStyle name="Note 4 3 4 2" xfId="14200" xr:uid="{00000000-0005-0000-0000-0000F5610000}"/>
    <cellStyle name="Note 4 3 4 3" xfId="22148" xr:uid="{00000000-0005-0000-0000-0000F6610000}"/>
    <cellStyle name="Note 4 3 5" xfId="9769" xr:uid="{00000000-0005-0000-0000-0000F7610000}"/>
    <cellStyle name="Note 4 3 5 2" xfId="17727" xr:uid="{00000000-0005-0000-0000-0000F8610000}"/>
    <cellStyle name="Note 4 3 5 3" xfId="25671" xr:uid="{00000000-0005-0000-0000-0000F9610000}"/>
    <cellStyle name="Note 4 3 6" xfId="10665" xr:uid="{00000000-0005-0000-0000-0000FA610000}"/>
    <cellStyle name="Note 4 3 7" xfId="18620" xr:uid="{00000000-0005-0000-0000-0000FB610000}"/>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3" xfId="24960" xr:uid="{00000000-0005-0000-0000-000002620000}"/>
    <cellStyle name="Note 4 4 2 2 3" xfId="13476" xr:uid="{00000000-0005-0000-0000-000003620000}"/>
    <cellStyle name="Note 4 4 2 2 4" xfId="21431" xr:uid="{00000000-0005-0000-0000-000004620000}"/>
    <cellStyle name="Note 4 4 2 3" xfId="7284" xr:uid="{00000000-0005-0000-0000-000005620000}"/>
    <cellStyle name="Note 4 4 2 3 2" xfId="15256" xr:uid="{00000000-0005-0000-0000-000006620000}"/>
    <cellStyle name="Note 4 4 2 3 3" xfId="23203" xr:uid="{00000000-0005-0000-0000-000007620000}"/>
    <cellStyle name="Note 4 4 2 4" xfId="11720" xr:uid="{00000000-0005-0000-0000-000008620000}"/>
    <cellStyle name="Note 4 4 2 5" xfId="19675" xr:uid="{00000000-0005-0000-0000-000009620000}"/>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3" xfId="24082" xr:uid="{00000000-0005-0000-0000-00000E620000}"/>
    <cellStyle name="Note 4 4 3 3" xfId="12598" xr:uid="{00000000-0005-0000-0000-00000F620000}"/>
    <cellStyle name="Note 4 4 3 4" xfId="20553" xr:uid="{00000000-0005-0000-0000-000010620000}"/>
    <cellStyle name="Note 4 4 4" xfId="6404" xr:uid="{00000000-0005-0000-0000-000011620000}"/>
    <cellStyle name="Note 4 4 4 2" xfId="14378" xr:uid="{00000000-0005-0000-0000-000012620000}"/>
    <cellStyle name="Note 4 4 4 3" xfId="22325" xr:uid="{00000000-0005-0000-0000-000013620000}"/>
    <cellStyle name="Note 4 4 5" xfId="9946" xr:uid="{00000000-0005-0000-0000-000014620000}"/>
    <cellStyle name="Note 4 4 5 2" xfId="17904" xr:uid="{00000000-0005-0000-0000-000015620000}"/>
    <cellStyle name="Note 4 4 5 3" xfId="25848" xr:uid="{00000000-0005-0000-0000-000016620000}"/>
    <cellStyle name="Note 4 4 6" xfId="10842" xr:uid="{00000000-0005-0000-0000-000017620000}"/>
    <cellStyle name="Note 4 4 7" xfId="18797" xr:uid="{00000000-0005-0000-0000-000018620000}"/>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3" xfId="24780" xr:uid="{00000000-0005-0000-0000-00001E620000}"/>
    <cellStyle name="Note 4 5 2 3" xfId="13296" xr:uid="{00000000-0005-0000-0000-00001F620000}"/>
    <cellStyle name="Note 4 5 2 4" xfId="21251" xr:uid="{00000000-0005-0000-0000-000020620000}"/>
    <cellStyle name="Note 4 5 3" xfId="7104" xr:uid="{00000000-0005-0000-0000-000021620000}"/>
    <cellStyle name="Note 4 5 3 2" xfId="15076" xr:uid="{00000000-0005-0000-0000-000022620000}"/>
    <cellStyle name="Note 4 5 3 3" xfId="23023" xr:uid="{00000000-0005-0000-0000-000023620000}"/>
    <cellStyle name="Note 4 5 4" xfId="11540" xr:uid="{00000000-0005-0000-0000-000024620000}"/>
    <cellStyle name="Note 4 5 5" xfId="19495" xr:uid="{00000000-0005-0000-0000-000025620000}"/>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3" xfId="23902" xr:uid="{00000000-0005-0000-0000-00002A620000}"/>
    <cellStyle name="Note 4 6 3" xfId="12418" xr:uid="{00000000-0005-0000-0000-00002B620000}"/>
    <cellStyle name="Note 4 6 4" xfId="20373" xr:uid="{00000000-0005-0000-0000-00002C620000}"/>
    <cellStyle name="Note 4 7" xfId="6213" xr:uid="{00000000-0005-0000-0000-00002D620000}"/>
    <cellStyle name="Note 4 7 2" xfId="14197" xr:uid="{00000000-0005-0000-0000-00002E620000}"/>
    <cellStyle name="Note 4 7 3" xfId="22145" xr:uid="{00000000-0005-0000-0000-00002F620000}"/>
    <cellStyle name="Note 4 8" xfId="9766" xr:uid="{00000000-0005-0000-0000-000030620000}"/>
    <cellStyle name="Note 4 8 2" xfId="17724" xr:uid="{00000000-0005-0000-0000-000031620000}"/>
    <cellStyle name="Note 4 8 3" xfId="25668" xr:uid="{00000000-0005-0000-0000-000032620000}"/>
    <cellStyle name="Note 4 9" xfId="10662" xr:uid="{00000000-0005-0000-0000-000033620000}"/>
    <cellStyle name="Note 4_Exh G" xfId="3637" xr:uid="{00000000-0005-0000-0000-000034620000}"/>
    <cellStyle name="Note 5" xfId="718" xr:uid="{00000000-0005-0000-0000-000035620000}"/>
    <cellStyle name="Note 5 10" xfId="18621" xr:uid="{00000000-0005-0000-0000-000036620000}"/>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3" xfId="24786" xr:uid="{00000000-0005-0000-0000-00003D620000}"/>
    <cellStyle name="Note 5 2 2 2 2 3" xfId="13302" xr:uid="{00000000-0005-0000-0000-00003E620000}"/>
    <cellStyle name="Note 5 2 2 2 2 4" xfId="21257" xr:uid="{00000000-0005-0000-0000-00003F620000}"/>
    <cellStyle name="Note 5 2 2 2 3" xfId="7110" xr:uid="{00000000-0005-0000-0000-000040620000}"/>
    <cellStyle name="Note 5 2 2 2 3 2" xfId="15082" xr:uid="{00000000-0005-0000-0000-000041620000}"/>
    <cellStyle name="Note 5 2 2 2 3 3" xfId="23029" xr:uid="{00000000-0005-0000-0000-000042620000}"/>
    <cellStyle name="Note 5 2 2 2 4" xfId="11546" xr:uid="{00000000-0005-0000-0000-000043620000}"/>
    <cellStyle name="Note 5 2 2 2 5" xfId="19501" xr:uid="{00000000-0005-0000-0000-000044620000}"/>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3" xfId="23908" xr:uid="{00000000-0005-0000-0000-000049620000}"/>
    <cellStyle name="Note 5 2 2 3 3" xfId="12424" xr:uid="{00000000-0005-0000-0000-00004A620000}"/>
    <cellStyle name="Note 5 2 2 3 4" xfId="20379" xr:uid="{00000000-0005-0000-0000-00004B620000}"/>
    <cellStyle name="Note 5 2 2 4" xfId="6219" xr:uid="{00000000-0005-0000-0000-00004C620000}"/>
    <cellStyle name="Note 5 2 2 4 2" xfId="14203" xr:uid="{00000000-0005-0000-0000-00004D620000}"/>
    <cellStyle name="Note 5 2 2 4 3" xfId="22151" xr:uid="{00000000-0005-0000-0000-00004E620000}"/>
    <cellStyle name="Note 5 2 2 5" xfId="9772" xr:uid="{00000000-0005-0000-0000-00004F620000}"/>
    <cellStyle name="Note 5 2 2 5 2" xfId="17730" xr:uid="{00000000-0005-0000-0000-000050620000}"/>
    <cellStyle name="Note 5 2 2 5 3" xfId="25674" xr:uid="{00000000-0005-0000-0000-000051620000}"/>
    <cellStyle name="Note 5 2 2 6" xfId="10668" xr:uid="{00000000-0005-0000-0000-000052620000}"/>
    <cellStyle name="Note 5 2 2 7" xfId="18623" xr:uid="{00000000-0005-0000-0000-000053620000}"/>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3" xfId="24785" xr:uid="{00000000-0005-0000-0000-000059620000}"/>
    <cellStyle name="Note 5 2 3 2 3" xfId="13301" xr:uid="{00000000-0005-0000-0000-00005A620000}"/>
    <cellStyle name="Note 5 2 3 2 4" xfId="21256" xr:uid="{00000000-0005-0000-0000-00005B620000}"/>
    <cellStyle name="Note 5 2 3 3" xfId="7109" xr:uid="{00000000-0005-0000-0000-00005C620000}"/>
    <cellStyle name="Note 5 2 3 3 2" xfId="15081" xr:uid="{00000000-0005-0000-0000-00005D620000}"/>
    <cellStyle name="Note 5 2 3 3 3" xfId="23028" xr:uid="{00000000-0005-0000-0000-00005E620000}"/>
    <cellStyle name="Note 5 2 3 4" xfId="11545" xr:uid="{00000000-0005-0000-0000-00005F620000}"/>
    <cellStyle name="Note 5 2 3 5" xfId="19500" xr:uid="{00000000-0005-0000-0000-000060620000}"/>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3" xfId="23907" xr:uid="{00000000-0005-0000-0000-000065620000}"/>
    <cellStyle name="Note 5 2 4 3" xfId="12423" xr:uid="{00000000-0005-0000-0000-000066620000}"/>
    <cellStyle name="Note 5 2 4 4" xfId="20378" xr:uid="{00000000-0005-0000-0000-000067620000}"/>
    <cellStyle name="Note 5 2 5" xfId="6218" xr:uid="{00000000-0005-0000-0000-000068620000}"/>
    <cellStyle name="Note 5 2 5 2" xfId="14202" xr:uid="{00000000-0005-0000-0000-000069620000}"/>
    <cellStyle name="Note 5 2 5 3" xfId="22150" xr:uid="{00000000-0005-0000-0000-00006A620000}"/>
    <cellStyle name="Note 5 2 6" xfId="9771" xr:uid="{00000000-0005-0000-0000-00006B620000}"/>
    <cellStyle name="Note 5 2 6 2" xfId="17729" xr:uid="{00000000-0005-0000-0000-00006C620000}"/>
    <cellStyle name="Note 5 2 6 3" xfId="25673" xr:uid="{00000000-0005-0000-0000-00006D620000}"/>
    <cellStyle name="Note 5 2 7" xfId="10667" xr:uid="{00000000-0005-0000-0000-00006E620000}"/>
    <cellStyle name="Note 5 2 8" xfId="18622" xr:uid="{00000000-0005-0000-0000-00006F620000}"/>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3" xfId="24787" xr:uid="{00000000-0005-0000-0000-000076620000}"/>
    <cellStyle name="Note 5 3 2 2 3" xfId="13303" xr:uid="{00000000-0005-0000-0000-000077620000}"/>
    <cellStyle name="Note 5 3 2 2 4" xfId="21258" xr:uid="{00000000-0005-0000-0000-000078620000}"/>
    <cellStyle name="Note 5 3 2 3" xfId="7111" xr:uid="{00000000-0005-0000-0000-000079620000}"/>
    <cellStyle name="Note 5 3 2 3 2" xfId="15083" xr:uid="{00000000-0005-0000-0000-00007A620000}"/>
    <cellStyle name="Note 5 3 2 3 3" xfId="23030" xr:uid="{00000000-0005-0000-0000-00007B620000}"/>
    <cellStyle name="Note 5 3 2 4" xfId="11547" xr:uid="{00000000-0005-0000-0000-00007C620000}"/>
    <cellStyle name="Note 5 3 2 5" xfId="19502" xr:uid="{00000000-0005-0000-0000-00007D620000}"/>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3" xfId="23909" xr:uid="{00000000-0005-0000-0000-000082620000}"/>
    <cellStyle name="Note 5 3 3 3" xfId="12425" xr:uid="{00000000-0005-0000-0000-000083620000}"/>
    <cellStyle name="Note 5 3 3 4" xfId="20380" xr:uid="{00000000-0005-0000-0000-000084620000}"/>
    <cellStyle name="Note 5 3 4" xfId="6220" xr:uid="{00000000-0005-0000-0000-000085620000}"/>
    <cellStyle name="Note 5 3 4 2" xfId="14204" xr:uid="{00000000-0005-0000-0000-000086620000}"/>
    <cellStyle name="Note 5 3 4 3" xfId="22152" xr:uid="{00000000-0005-0000-0000-000087620000}"/>
    <cellStyle name="Note 5 3 5" xfId="9773" xr:uid="{00000000-0005-0000-0000-000088620000}"/>
    <cellStyle name="Note 5 3 5 2" xfId="17731" xr:uid="{00000000-0005-0000-0000-000089620000}"/>
    <cellStyle name="Note 5 3 5 3" xfId="25675" xr:uid="{00000000-0005-0000-0000-00008A620000}"/>
    <cellStyle name="Note 5 3 6" xfId="10669" xr:uid="{00000000-0005-0000-0000-00008B620000}"/>
    <cellStyle name="Note 5 3 7" xfId="18624" xr:uid="{00000000-0005-0000-0000-00008C620000}"/>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3" xfId="24784" xr:uid="{00000000-0005-0000-0000-000094620000}"/>
    <cellStyle name="Note 5 5 2 3" xfId="13300" xr:uid="{00000000-0005-0000-0000-000095620000}"/>
    <cellStyle name="Note 5 5 2 4" xfId="21255" xr:uid="{00000000-0005-0000-0000-000096620000}"/>
    <cellStyle name="Note 5 5 3" xfId="7108" xr:uid="{00000000-0005-0000-0000-000097620000}"/>
    <cellStyle name="Note 5 5 3 2" xfId="15080" xr:uid="{00000000-0005-0000-0000-000098620000}"/>
    <cellStyle name="Note 5 5 3 3" xfId="23027" xr:uid="{00000000-0005-0000-0000-000099620000}"/>
    <cellStyle name="Note 5 5 4" xfId="11544" xr:uid="{00000000-0005-0000-0000-00009A620000}"/>
    <cellStyle name="Note 5 5 5" xfId="19499" xr:uid="{00000000-0005-0000-0000-00009B620000}"/>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3" xfId="23906" xr:uid="{00000000-0005-0000-0000-0000A0620000}"/>
    <cellStyle name="Note 5 6 3" xfId="12422" xr:uid="{00000000-0005-0000-0000-0000A1620000}"/>
    <cellStyle name="Note 5 6 4" xfId="20377" xr:uid="{00000000-0005-0000-0000-0000A2620000}"/>
    <cellStyle name="Note 5 7" xfId="6217" xr:uid="{00000000-0005-0000-0000-0000A3620000}"/>
    <cellStyle name="Note 5 7 2" xfId="14201" xr:uid="{00000000-0005-0000-0000-0000A4620000}"/>
    <cellStyle name="Note 5 7 3" xfId="22149" xr:uid="{00000000-0005-0000-0000-0000A5620000}"/>
    <cellStyle name="Note 5 8" xfId="9770" xr:uid="{00000000-0005-0000-0000-0000A6620000}"/>
    <cellStyle name="Note 5 8 2" xfId="17728" xr:uid="{00000000-0005-0000-0000-0000A7620000}"/>
    <cellStyle name="Note 5 8 3" xfId="25672" xr:uid="{00000000-0005-0000-0000-0000A8620000}"/>
    <cellStyle name="Note 5 9" xfId="10666" xr:uid="{00000000-0005-0000-0000-0000A9620000}"/>
    <cellStyle name="Note 5_Exh G" xfId="3649" xr:uid="{00000000-0005-0000-0000-0000AA620000}"/>
    <cellStyle name="Note 6" xfId="722" xr:uid="{00000000-0005-0000-0000-0000AB620000}"/>
    <cellStyle name="Note 6 10" xfId="18625" xr:uid="{00000000-0005-0000-0000-0000AC620000}"/>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3" xfId="24790" xr:uid="{00000000-0005-0000-0000-0000B3620000}"/>
    <cellStyle name="Note 6 2 2 2 2 3" xfId="13306" xr:uid="{00000000-0005-0000-0000-0000B4620000}"/>
    <cellStyle name="Note 6 2 2 2 2 4" xfId="21261" xr:uid="{00000000-0005-0000-0000-0000B5620000}"/>
    <cellStyle name="Note 6 2 2 2 3" xfId="7114" xr:uid="{00000000-0005-0000-0000-0000B6620000}"/>
    <cellStyle name="Note 6 2 2 2 3 2" xfId="15086" xr:uid="{00000000-0005-0000-0000-0000B7620000}"/>
    <cellStyle name="Note 6 2 2 2 3 3" xfId="23033" xr:uid="{00000000-0005-0000-0000-0000B8620000}"/>
    <cellStyle name="Note 6 2 2 2 4" xfId="11550" xr:uid="{00000000-0005-0000-0000-0000B9620000}"/>
    <cellStyle name="Note 6 2 2 2 5" xfId="19505" xr:uid="{00000000-0005-0000-0000-0000BA620000}"/>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3" xfId="23912" xr:uid="{00000000-0005-0000-0000-0000BF620000}"/>
    <cellStyle name="Note 6 2 2 3 3" xfId="12428" xr:uid="{00000000-0005-0000-0000-0000C0620000}"/>
    <cellStyle name="Note 6 2 2 3 4" xfId="20383" xr:uid="{00000000-0005-0000-0000-0000C1620000}"/>
    <cellStyle name="Note 6 2 2 4" xfId="6223" xr:uid="{00000000-0005-0000-0000-0000C2620000}"/>
    <cellStyle name="Note 6 2 2 4 2" xfId="14207" xr:uid="{00000000-0005-0000-0000-0000C3620000}"/>
    <cellStyle name="Note 6 2 2 4 3" xfId="22155" xr:uid="{00000000-0005-0000-0000-0000C4620000}"/>
    <cellStyle name="Note 6 2 2 5" xfId="9776" xr:uid="{00000000-0005-0000-0000-0000C5620000}"/>
    <cellStyle name="Note 6 2 2 5 2" xfId="17734" xr:uid="{00000000-0005-0000-0000-0000C6620000}"/>
    <cellStyle name="Note 6 2 2 5 3" xfId="25678" xr:uid="{00000000-0005-0000-0000-0000C7620000}"/>
    <cellStyle name="Note 6 2 2 6" xfId="10672" xr:uid="{00000000-0005-0000-0000-0000C8620000}"/>
    <cellStyle name="Note 6 2 2 7" xfId="18627" xr:uid="{00000000-0005-0000-0000-0000C9620000}"/>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3" xfId="24789" xr:uid="{00000000-0005-0000-0000-0000CF620000}"/>
    <cellStyle name="Note 6 2 3 2 3" xfId="13305" xr:uid="{00000000-0005-0000-0000-0000D0620000}"/>
    <cellStyle name="Note 6 2 3 2 4" xfId="21260" xr:uid="{00000000-0005-0000-0000-0000D1620000}"/>
    <cellStyle name="Note 6 2 3 3" xfId="7113" xr:uid="{00000000-0005-0000-0000-0000D2620000}"/>
    <cellStyle name="Note 6 2 3 3 2" xfId="15085" xr:uid="{00000000-0005-0000-0000-0000D3620000}"/>
    <cellStyle name="Note 6 2 3 3 3" xfId="23032" xr:uid="{00000000-0005-0000-0000-0000D4620000}"/>
    <cellStyle name="Note 6 2 3 4" xfId="11549" xr:uid="{00000000-0005-0000-0000-0000D5620000}"/>
    <cellStyle name="Note 6 2 3 5" xfId="19504" xr:uid="{00000000-0005-0000-0000-0000D6620000}"/>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3" xfId="23911" xr:uid="{00000000-0005-0000-0000-0000DB620000}"/>
    <cellStyle name="Note 6 2 4 3" xfId="12427" xr:uid="{00000000-0005-0000-0000-0000DC620000}"/>
    <cellStyle name="Note 6 2 4 4" xfId="20382" xr:uid="{00000000-0005-0000-0000-0000DD620000}"/>
    <cellStyle name="Note 6 2 5" xfId="6222" xr:uid="{00000000-0005-0000-0000-0000DE620000}"/>
    <cellStyle name="Note 6 2 5 2" xfId="14206" xr:uid="{00000000-0005-0000-0000-0000DF620000}"/>
    <cellStyle name="Note 6 2 5 3" xfId="22154" xr:uid="{00000000-0005-0000-0000-0000E0620000}"/>
    <cellStyle name="Note 6 2 6" xfId="9775" xr:uid="{00000000-0005-0000-0000-0000E1620000}"/>
    <cellStyle name="Note 6 2 6 2" xfId="17733" xr:uid="{00000000-0005-0000-0000-0000E2620000}"/>
    <cellStyle name="Note 6 2 6 3" xfId="25677" xr:uid="{00000000-0005-0000-0000-0000E3620000}"/>
    <cellStyle name="Note 6 2 7" xfId="10671" xr:uid="{00000000-0005-0000-0000-0000E4620000}"/>
    <cellStyle name="Note 6 2 8" xfId="18626" xr:uid="{00000000-0005-0000-0000-0000E562000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3" xfId="24791" xr:uid="{00000000-0005-0000-0000-0000EC620000}"/>
    <cellStyle name="Note 6 3 2 2 3" xfId="13307" xr:uid="{00000000-0005-0000-0000-0000ED620000}"/>
    <cellStyle name="Note 6 3 2 2 4" xfId="21262" xr:uid="{00000000-0005-0000-0000-0000EE620000}"/>
    <cellStyle name="Note 6 3 2 3" xfId="7115" xr:uid="{00000000-0005-0000-0000-0000EF620000}"/>
    <cellStyle name="Note 6 3 2 3 2" xfId="15087" xr:uid="{00000000-0005-0000-0000-0000F0620000}"/>
    <cellStyle name="Note 6 3 2 3 3" xfId="23034" xr:uid="{00000000-0005-0000-0000-0000F1620000}"/>
    <cellStyle name="Note 6 3 2 4" xfId="11551" xr:uid="{00000000-0005-0000-0000-0000F2620000}"/>
    <cellStyle name="Note 6 3 2 5" xfId="19506" xr:uid="{00000000-0005-0000-0000-0000F3620000}"/>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3" xfId="23913" xr:uid="{00000000-0005-0000-0000-0000F8620000}"/>
    <cellStyle name="Note 6 3 3 3" xfId="12429" xr:uid="{00000000-0005-0000-0000-0000F9620000}"/>
    <cellStyle name="Note 6 3 3 4" xfId="20384" xr:uid="{00000000-0005-0000-0000-0000FA620000}"/>
    <cellStyle name="Note 6 3 4" xfId="6224" xr:uid="{00000000-0005-0000-0000-0000FB620000}"/>
    <cellStyle name="Note 6 3 4 2" xfId="14208" xr:uid="{00000000-0005-0000-0000-0000FC620000}"/>
    <cellStyle name="Note 6 3 4 3" xfId="22156" xr:uid="{00000000-0005-0000-0000-0000FD620000}"/>
    <cellStyle name="Note 6 3 5" xfId="9777" xr:uid="{00000000-0005-0000-0000-0000FE620000}"/>
    <cellStyle name="Note 6 3 5 2" xfId="17735" xr:uid="{00000000-0005-0000-0000-0000FF620000}"/>
    <cellStyle name="Note 6 3 5 3" xfId="25679" xr:uid="{00000000-0005-0000-0000-000000630000}"/>
    <cellStyle name="Note 6 3 6" xfId="10673" xr:uid="{00000000-0005-0000-0000-000001630000}"/>
    <cellStyle name="Note 6 3 7" xfId="18628" xr:uid="{00000000-0005-0000-0000-00000263000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3" xfId="24962" xr:uid="{00000000-0005-0000-0000-000009630000}"/>
    <cellStyle name="Note 6 4 2 2 3" xfId="13478" xr:uid="{00000000-0005-0000-0000-00000A630000}"/>
    <cellStyle name="Note 6 4 2 2 4" xfId="21433" xr:uid="{00000000-0005-0000-0000-00000B630000}"/>
    <cellStyle name="Note 6 4 2 3" xfId="7286" xr:uid="{00000000-0005-0000-0000-00000C630000}"/>
    <cellStyle name="Note 6 4 2 3 2" xfId="15258" xr:uid="{00000000-0005-0000-0000-00000D630000}"/>
    <cellStyle name="Note 6 4 2 3 3" xfId="23205" xr:uid="{00000000-0005-0000-0000-00000E630000}"/>
    <cellStyle name="Note 6 4 2 4" xfId="11722" xr:uid="{00000000-0005-0000-0000-00000F630000}"/>
    <cellStyle name="Note 6 4 2 5" xfId="19677" xr:uid="{00000000-0005-0000-0000-000010630000}"/>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3" xfId="24084" xr:uid="{00000000-0005-0000-0000-000015630000}"/>
    <cellStyle name="Note 6 4 3 3" xfId="12600" xr:uid="{00000000-0005-0000-0000-000016630000}"/>
    <cellStyle name="Note 6 4 3 4" xfId="20555" xr:uid="{00000000-0005-0000-0000-000017630000}"/>
    <cellStyle name="Note 6 4 4" xfId="6407" xr:uid="{00000000-0005-0000-0000-000018630000}"/>
    <cellStyle name="Note 6 4 4 2" xfId="14380" xr:uid="{00000000-0005-0000-0000-000019630000}"/>
    <cellStyle name="Note 6 4 4 3" xfId="22327" xr:uid="{00000000-0005-0000-0000-00001A630000}"/>
    <cellStyle name="Note 6 4 5" xfId="9948" xr:uid="{00000000-0005-0000-0000-00001B630000}"/>
    <cellStyle name="Note 6 4 5 2" xfId="17906" xr:uid="{00000000-0005-0000-0000-00001C630000}"/>
    <cellStyle name="Note 6 4 5 3" xfId="25850" xr:uid="{00000000-0005-0000-0000-00001D630000}"/>
    <cellStyle name="Note 6 4 6" xfId="10844" xr:uid="{00000000-0005-0000-0000-00001E630000}"/>
    <cellStyle name="Note 6 4 7" xfId="18799" xr:uid="{00000000-0005-0000-0000-00001F630000}"/>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3" xfId="24788" xr:uid="{00000000-0005-0000-0000-000025630000}"/>
    <cellStyle name="Note 6 5 2 3" xfId="13304" xr:uid="{00000000-0005-0000-0000-000026630000}"/>
    <cellStyle name="Note 6 5 2 4" xfId="21259" xr:uid="{00000000-0005-0000-0000-000027630000}"/>
    <cellStyle name="Note 6 5 3" xfId="7112" xr:uid="{00000000-0005-0000-0000-000028630000}"/>
    <cellStyle name="Note 6 5 3 2" xfId="15084" xr:uid="{00000000-0005-0000-0000-000029630000}"/>
    <cellStyle name="Note 6 5 3 3" xfId="23031" xr:uid="{00000000-0005-0000-0000-00002A630000}"/>
    <cellStyle name="Note 6 5 4" xfId="11548" xr:uid="{00000000-0005-0000-0000-00002B630000}"/>
    <cellStyle name="Note 6 5 5" xfId="19503" xr:uid="{00000000-0005-0000-0000-00002C630000}"/>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3" xfId="23910" xr:uid="{00000000-0005-0000-0000-000031630000}"/>
    <cellStyle name="Note 6 6 3" xfId="12426" xr:uid="{00000000-0005-0000-0000-000032630000}"/>
    <cellStyle name="Note 6 6 4" xfId="20381" xr:uid="{00000000-0005-0000-0000-000033630000}"/>
    <cellStyle name="Note 6 7" xfId="6221" xr:uid="{00000000-0005-0000-0000-000034630000}"/>
    <cellStyle name="Note 6 7 2" xfId="14205" xr:uid="{00000000-0005-0000-0000-000035630000}"/>
    <cellStyle name="Note 6 7 3" xfId="22153" xr:uid="{00000000-0005-0000-0000-000036630000}"/>
    <cellStyle name="Note 6 8" xfId="9774" xr:uid="{00000000-0005-0000-0000-000037630000}"/>
    <cellStyle name="Note 6 8 2" xfId="17732" xr:uid="{00000000-0005-0000-0000-000038630000}"/>
    <cellStyle name="Note 6 8 3" xfId="25676" xr:uid="{00000000-0005-0000-0000-000039630000}"/>
    <cellStyle name="Note 6 9" xfId="10670" xr:uid="{00000000-0005-0000-0000-00003A630000}"/>
    <cellStyle name="Note 6_Exh G" xfId="3657" xr:uid="{00000000-0005-0000-0000-00003B630000}"/>
    <cellStyle name="Note 7" xfId="726" xr:uid="{00000000-0005-0000-0000-00003C630000}"/>
    <cellStyle name="Note 7 10" xfId="18629" xr:uid="{00000000-0005-0000-0000-00003D630000}"/>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3" xfId="24794" xr:uid="{00000000-0005-0000-0000-000044630000}"/>
    <cellStyle name="Note 7 2 2 2 2 3" xfId="13310" xr:uid="{00000000-0005-0000-0000-000045630000}"/>
    <cellStyle name="Note 7 2 2 2 2 4" xfId="21265" xr:uid="{00000000-0005-0000-0000-000046630000}"/>
    <cellStyle name="Note 7 2 2 2 3" xfId="7118" xr:uid="{00000000-0005-0000-0000-000047630000}"/>
    <cellStyle name="Note 7 2 2 2 3 2" xfId="15090" xr:uid="{00000000-0005-0000-0000-000048630000}"/>
    <cellStyle name="Note 7 2 2 2 3 3" xfId="23037" xr:uid="{00000000-0005-0000-0000-000049630000}"/>
    <cellStyle name="Note 7 2 2 2 4" xfId="11554" xr:uid="{00000000-0005-0000-0000-00004A630000}"/>
    <cellStyle name="Note 7 2 2 2 5" xfId="19509" xr:uid="{00000000-0005-0000-0000-00004B630000}"/>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3" xfId="23916" xr:uid="{00000000-0005-0000-0000-000050630000}"/>
    <cellStyle name="Note 7 2 2 3 3" xfId="12432" xr:uid="{00000000-0005-0000-0000-000051630000}"/>
    <cellStyle name="Note 7 2 2 3 4" xfId="20387" xr:uid="{00000000-0005-0000-0000-000052630000}"/>
    <cellStyle name="Note 7 2 2 4" xfId="6227" xr:uid="{00000000-0005-0000-0000-000053630000}"/>
    <cellStyle name="Note 7 2 2 4 2" xfId="14211" xr:uid="{00000000-0005-0000-0000-000054630000}"/>
    <cellStyle name="Note 7 2 2 4 3" xfId="22159" xr:uid="{00000000-0005-0000-0000-000055630000}"/>
    <cellStyle name="Note 7 2 2 5" xfId="9780" xr:uid="{00000000-0005-0000-0000-000056630000}"/>
    <cellStyle name="Note 7 2 2 5 2" xfId="17738" xr:uid="{00000000-0005-0000-0000-000057630000}"/>
    <cellStyle name="Note 7 2 2 5 3" xfId="25682" xr:uid="{00000000-0005-0000-0000-000058630000}"/>
    <cellStyle name="Note 7 2 2 6" xfId="10676" xr:uid="{00000000-0005-0000-0000-000059630000}"/>
    <cellStyle name="Note 7 2 2 7" xfId="18631" xr:uid="{00000000-0005-0000-0000-00005A630000}"/>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3" xfId="24793" xr:uid="{00000000-0005-0000-0000-000060630000}"/>
    <cellStyle name="Note 7 2 3 2 3" xfId="13309" xr:uid="{00000000-0005-0000-0000-000061630000}"/>
    <cellStyle name="Note 7 2 3 2 4" xfId="21264" xr:uid="{00000000-0005-0000-0000-000062630000}"/>
    <cellStyle name="Note 7 2 3 3" xfId="7117" xr:uid="{00000000-0005-0000-0000-000063630000}"/>
    <cellStyle name="Note 7 2 3 3 2" xfId="15089" xr:uid="{00000000-0005-0000-0000-000064630000}"/>
    <cellStyle name="Note 7 2 3 3 3" xfId="23036" xr:uid="{00000000-0005-0000-0000-000065630000}"/>
    <cellStyle name="Note 7 2 3 4" xfId="11553" xr:uid="{00000000-0005-0000-0000-000066630000}"/>
    <cellStyle name="Note 7 2 3 5" xfId="19508" xr:uid="{00000000-0005-0000-0000-000067630000}"/>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3" xfId="23915" xr:uid="{00000000-0005-0000-0000-00006C630000}"/>
    <cellStyle name="Note 7 2 4 3" xfId="12431" xr:uid="{00000000-0005-0000-0000-00006D630000}"/>
    <cellStyle name="Note 7 2 4 4" xfId="20386" xr:uid="{00000000-0005-0000-0000-00006E630000}"/>
    <cellStyle name="Note 7 2 5" xfId="6226" xr:uid="{00000000-0005-0000-0000-00006F630000}"/>
    <cellStyle name="Note 7 2 5 2" xfId="14210" xr:uid="{00000000-0005-0000-0000-000070630000}"/>
    <cellStyle name="Note 7 2 5 3" xfId="22158" xr:uid="{00000000-0005-0000-0000-000071630000}"/>
    <cellStyle name="Note 7 2 6" xfId="9779" xr:uid="{00000000-0005-0000-0000-000072630000}"/>
    <cellStyle name="Note 7 2 6 2" xfId="17737" xr:uid="{00000000-0005-0000-0000-000073630000}"/>
    <cellStyle name="Note 7 2 6 3" xfId="25681" xr:uid="{00000000-0005-0000-0000-000074630000}"/>
    <cellStyle name="Note 7 2 7" xfId="10675" xr:uid="{00000000-0005-0000-0000-000075630000}"/>
    <cellStyle name="Note 7 2 8" xfId="18630" xr:uid="{00000000-0005-0000-0000-000076630000}"/>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3" xfId="24795" xr:uid="{00000000-0005-0000-0000-00007D630000}"/>
    <cellStyle name="Note 7 3 2 2 3" xfId="13311" xr:uid="{00000000-0005-0000-0000-00007E630000}"/>
    <cellStyle name="Note 7 3 2 2 4" xfId="21266" xr:uid="{00000000-0005-0000-0000-00007F630000}"/>
    <cellStyle name="Note 7 3 2 3" xfId="7119" xr:uid="{00000000-0005-0000-0000-000080630000}"/>
    <cellStyle name="Note 7 3 2 3 2" xfId="15091" xr:uid="{00000000-0005-0000-0000-000081630000}"/>
    <cellStyle name="Note 7 3 2 3 3" xfId="23038" xr:uid="{00000000-0005-0000-0000-000082630000}"/>
    <cellStyle name="Note 7 3 2 4" xfId="11555" xr:uid="{00000000-0005-0000-0000-000083630000}"/>
    <cellStyle name="Note 7 3 2 5" xfId="19510" xr:uid="{00000000-0005-0000-0000-000084630000}"/>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3" xfId="23917" xr:uid="{00000000-0005-0000-0000-000089630000}"/>
    <cellStyle name="Note 7 3 3 3" xfId="12433" xr:uid="{00000000-0005-0000-0000-00008A630000}"/>
    <cellStyle name="Note 7 3 3 4" xfId="20388" xr:uid="{00000000-0005-0000-0000-00008B630000}"/>
    <cellStyle name="Note 7 3 4" xfId="6228" xr:uid="{00000000-0005-0000-0000-00008C630000}"/>
    <cellStyle name="Note 7 3 4 2" xfId="14212" xr:uid="{00000000-0005-0000-0000-00008D630000}"/>
    <cellStyle name="Note 7 3 4 3" xfId="22160" xr:uid="{00000000-0005-0000-0000-00008E630000}"/>
    <cellStyle name="Note 7 3 5" xfId="9781" xr:uid="{00000000-0005-0000-0000-00008F630000}"/>
    <cellStyle name="Note 7 3 5 2" xfId="17739" xr:uid="{00000000-0005-0000-0000-000090630000}"/>
    <cellStyle name="Note 7 3 5 3" xfId="25683" xr:uid="{00000000-0005-0000-0000-000091630000}"/>
    <cellStyle name="Note 7 3 6" xfId="10677" xr:uid="{00000000-0005-0000-0000-000092630000}"/>
    <cellStyle name="Note 7 3 7" xfId="18632" xr:uid="{00000000-0005-0000-0000-000093630000}"/>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3" xfId="24963" xr:uid="{00000000-0005-0000-0000-00009A630000}"/>
    <cellStyle name="Note 7 4 2 2 3" xfId="13479" xr:uid="{00000000-0005-0000-0000-00009B630000}"/>
    <cellStyle name="Note 7 4 2 2 4" xfId="21434" xr:uid="{00000000-0005-0000-0000-00009C630000}"/>
    <cellStyle name="Note 7 4 2 3" xfId="7287" xr:uid="{00000000-0005-0000-0000-00009D630000}"/>
    <cellStyle name="Note 7 4 2 3 2" xfId="15259" xr:uid="{00000000-0005-0000-0000-00009E630000}"/>
    <cellStyle name="Note 7 4 2 3 3" xfId="23206" xr:uid="{00000000-0005-0000-0000-00009F630000}"/>
    <cellStyle name="Note 7 4 2 4" xfId="11723" xr:uid="{00000000-0005-0000-0000-0000A0630000}"/>
    <cellStyle name="Note 7 4 2 5" xfId="19678" xr:uid="{00000000-0005-0000-0000-0000A1630000}"/>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3" xfId="24085" xr:uid="{00000000-0005-0000-0000-0000A6630000}"/>
    <cellStyle name="Note 7 4 3 3" xfId="12601" xr:uid="{00000000-0005-0000-0000-0000A7630000}"/>
    <cellStyle name="Note 7 4 3 4" xfId="20556" xr:uid="{00000000-0005-0000-0000-0000A8630000}"/>
    <cellStyle name="Note 7 4 4" xfId="6408" xr:uid="{00000000-0005-0000-0000-0000A9630000}"/>
    <cellStyle name="Note 7 4 4 2" xfId="14381" xr:uid="{00000000-0005-0000-0000-0000AA630000}"/>
    <cellStyle name="Note 7 4 4 3" xfId="22328" xr:uid="{00000000-0005-0000-0000-0000AB630000}"/>
    <cellStyle name="Note 7 4 5" xfId="9949" xr:uid="{00000000-0005-0000-0000-0000AC630000}"/>
    <cellStyle name="Note 7 4 5 2" xfId="17907" xr:uid="{00000000-0005-0000-0000-0000AD630000}"/>
    <cellStyle name="Note 7 4 5 3" xfId="25851" xr:uid="{00000000-0005-0000-0000-0000AE630000}"/>
    <cellStyle name="Note 7 4 6" xfId="10845" xr:uid="{00000000-0005-0000-0000-0000AF630000}"/>
    <cellStyle name="Note 7 4 7" xfId="18800" xr:uid="{00000000-0005-0000-0000-0000B0630000}"/>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3" xfId="24792" xr:uid="{00000000-0005-0000-0000-0000B6630000}"/>
    <cellStyle name="Note 7 5 2 3" xfId="13308" xr:uid="{00000000-0005-0000-0000-0000B7630000}"/>
    <cellStyle name="Note 7 5 2 4" xfId="21263" xr:uid="{00000000-0005-0000-0000-0000B8630000}"/>
    <cellStyle name="Note 7 5 3" xfId="7116" xr:uid="{00000000-0005-0000-0000-0000B9630000}"/>
    <cellStyle name="Note 7 5 3 2" xfId="15088" xr:uid="{00000000-0005-0000-0000-0000BA630000}"/>
    <cellStyle name="Note 7 5 3 3" xfId="23035" xr:uid="{00000000-0005-0000-0000-0000BB630000}"/>
    <cellStyle name="Note 7 5 4" xfId="11552" xr:uid="{00000000-0005-0000-0000-0000BC630000}"/>
    <cellStyle name="Note 7 5 5" xfId="19507" xr:uid="{00000000-0005-0000-0000-0000BD630000}"/>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3" xfId="23914" xr:uid="{00000000-0005-0000-0000-0000C2630000}"/>
    <cellStyle name="Note 7 6 3" xfId="12430" xr:uid="{00000000-0005-0000-0000-0000C3630000}"/>
    <cellStyle name="Note 7 6 4" xfId="20385" xr:uid="{00000000-0005-0000-0000-0000C4630000}"/>
    <cellStyle name="Note 7 7" xfId="6225" xr:uid="{00000000-0005-0000-0000-0000C5630000}"/>
    <cellStyle name="Note 7 7 2" xfId="14209" xr:uid="{00000000-0005-0000-0000-0000C6630000}"/>
    <cellStyle name="Note 7 7 3" xfId="22157" xr:uid="{00000000-0005-0000-0000-0000C7630000}"/>
    <cellStyle name="Note 7 8" xfId="9778" xr:uid="{00000000-0005-0000-0000-0000C8630000}"/>
    <cellStyle name="Note 7 8 2" xfId="17736" xr:uid="{00000000-0005-0000-0000-0000C9630000}"/>
    <cellStyle name="Note 7 8 3" xfId="25680" xr:uid="{00000000-0005-0000-0000-0000CA630000}"/>
    <cellStyle name="Note 7 9" xfId="10674" xr:uid="{00000000-0005-0000-0000-0000CB630000}"/>
    <cellStyle name="Note 7_Exh G" xfId="3667" xr:uid="{00000000-0005-0000-0000-0000CC630000}"/>
    <cellStyle name="Note 8" xfId="730" xr:uid="{00000000-0005-0000-0000-0000CD630000}"/>
    <cellStyle name="Note 8 10" xfId="18633" xr:uid="{00000000-0005-0000-0000-0000CE630000}"/>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3" xfId="24798" xr:uid="{00000000-0005-0000-0000-0000D5630000}"/>
    <cellStyle name="Note 8 2 2 2 2 3" xfId="13314" xr:uid="{00000000-0005-0000-0000-0000D6630000}"/>
    <cellStyle name="Note 8 2 2 2 2 4" xfId="21269" xr:uid="{00000000-0005-0000-0000-0000D7630000}"/>
    <cellStyle name="Note 8 2 2 2 3" xfId="7122" xr:uid="{00000000-0005-0000-0000-0000D8630000}"/>
    <cellStyle name="Note 8 2 2 2 3 2" xfId="15094" xr:uid="{00000000-0005-0000-0000-0000D9630000}"/>
    <cellStyle name="Note 8 2 2 2 3 3" xfId="23041" xr:uid="{00000000-0005-0000-0000-0000DA630000}"/>
    <cellStyle name="Note 8 2 2 2 4" xfId="11558" xr:uid="{00000000-0005-0000-0000-0000DB630000}"/>
    <cellStyle name="Note 8 2 2 2 5" xfId="19513" xr:uid="{00000000-0005-0000-0000-0000DC630000}"/>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3" xfId="23920" xr:uid="{00000000-0005-0000-0000-0000E1630000}"/>
    <cellStyle name="Note 8 2 2 3 3" xfId="12436" xr:uid="{00000000-0005-0000-0000-0000E2630000}"/>
    <cellStyle name="Note 8 2 2 3 4" xfId="20391" xr:uid="{00000000-0005-0000-0000-0000E3630000}"/>
    <cellStyle name="Note 8 2 2 4" xfId="6231" xr:uid="{00000000-0005-0000-0000-0000E4630000}"/>
    <cellStyle name="Note 8 2 2 4 2" xfId="14215" xr:uid="{00000000-0005-0000-0000-0000E5630000}"/>
    <cellStyle name="Note 8 2 2 4 3" xfId="22163" xr:uid="{00000000-0005-0000-0000-0000E6630000}"/>
    <cellStyle name="Note 8 2 2 5" xfId="9784" xr:uid="{00000000-0005-0000-0000-0000E7630000}"/>
    <cellStyle name="Note 8 2 2 5 2" xfId="17742" xr:uid="{00000000-0005-0000-0000-0000E8630000}"/>
    <cellStyle name="Note 8 2 2 5 3" xfId="25686" xr:uid="{00000000-0005-0000-0000-0000E9630000}"/>
    <cellStyle name="Note 8 2 2 6" xfId="10680" xr:uid="{00000000-0005-0000-0000-0000EA630000}"/>
    <cellStyle name="Note 8 2 2 7" xfId="18635" xr:uid="{00000000-0005-0000-0000-0000EB630000}"/>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3" xfId="24797" xr:uid="{00000000-0005-0000-0000-0000F1630000}"/>
    <cellStyle name="Note 8 2 3 2 3" xfId="13313" xr:uid="{00000000-0005-0000-0000-0000F2630000}"/>
    <cellStyle name="Note 8 2 3 2 4" xfId="21268" xr:uid="{00000000-0005-0000-0000-0000F3630000}"/>
    <cellStyle name="Note 8 2 3 3" xfId="7121" xr:uid="{00000000-0005-0000-0000-0000F4630000}"/>
    <cellStyle name="Note 8 2 3 3 2" xfId="15093" xr:uid="{00000000-0005-0000-0000-0000F5630000}"/>
    <cellStyle name="Note 8 2 3 3 3" xfId="23040" xr:uid="{00000000-0005-0000-0000-0000F6630000}"/>
    <cellStyle name="Note 8 2 3 4" xfId="11557" xr:uid="{00000000-0005-0000-0000-0000F7630000}"/>
    <cellStyle name="Note 8 2 3 5" xfId="19512" xr:uid="{00000000-0005-0000-0000-0000F8630000}"/>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3" xfId="23919" xr:uid="{00000000-0005-0000-0000-0000FD630000}"/>
    <cellStyle name="Note 8 2 4 3" xfId="12435" xr:uid="{00000000-0005-0000-0000-0000FE630000}"/>
    <cellStyle name="Note 8 2 4 4" xfId="20390" xr:uid="{00000000-0005-0000-0000-0000FF630000}"/>
    <cellStyle name="Note 8 2 5" xfId="6230" xr:uid="{00000000-0005-0000-0000-000000640000}"/>
    <cellStyle name="Note 8 2 5 2" xfId="14214" xr:uid="{00000000-0005-0000-0000-000001640000}"/>
    <cellStyle name="Note 8 2 5 3" xfId="22162" xr:uid="{00000000-0005-0000-0000-000002640000}"/>
    <cellStyle name="Note 8 2 6" xfId="9783" xr:uid="{00000000-0005-0000-0000-000003640000}"/>
    <cellStyle name="Note 8 2 6 2" xfId="17741" xr:uid="{00000000-0005-0000-0000-000004640000}"/>
    <cellStyle name="Note 8 2 6 3" xfId="25685" xr:uid="{00000000-0005-0000-0000-000005640000}"/>
    <cellStyle name="Note 8 2 7" xfId="10679" xr:uid="{00000000-0005-0000-0000-000006640000}"/>
    <cellStyle name="Note 8 2 8" xfId="18634" xr:uid="{00000000-0005-0000-0000-000007640000}"/>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3" xfId="24799" xr:uid="{00000000-0005-0000-0000-00000E640000}"/>
    <cellStyle name="Note 8 3 2 2 3" xfId="13315" xr:uid="{00000000-0005-0000-0000-00000F640000}"/>
    <cellStyle name="Note 8 3 2 2 4" xfId="21270" xr:uid="{00000000-0005-0000-0000-000010640000}"/>
    <cellStyle name="Note 8 3 2 3" xfId="7123" xr:uid="{00000000-0005-0000-0000-000011640000}"/>
    <cellStyle name="Note 8 3 2 3 2" xfId="15095" xr:uid="{00000000-0005-0000-0000-000012640000}"/>
    <cellStyle name="Note 8 3 2 3 3" xfId="23042" xr:uid="{00000000-0005-0000-0000-000013640000}"/>
    <cellStyle name="Note 8 3 2 4" xfId="11559" xr:uid="{00000000-0005-0000-0000-000014640000}"/>
    <cellStyle name="Note 8 3 2 5" xfId="19514" xr:uid="{00000000-0005-0000-0000-000015640000}"/>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3" xfId="23921" xr:uid="{00000000-0005-0000-0000-00001A640000}"/>
    <cellStyle name="Note 8 3 3 3" xfId="12437" xr:uid="{00000000-0005-0000-0000-00001B640000}"/>
    <cellStyle name="Note 8 3 3 4" xfId="20392" xr:uid="{00000000-0005-0000-0000-00001C640000}"/>
    <cellStyle name="Note 8 3 4" xfId="6232" xr:uid="{00000000-0005-0000-0000-00001D640000}"/>
    <cellStyle name="Note 8 3 4 2" xfId="14216" xr:uid="{00000000-0005-0000-0000-00001E640000}"/>
    <cellStyle name="Note 8 3 4 3" xfId="22164" xr:uid="{00000000-0005-0000-0000-00001F640000}"/>
    <cellStyle name="Note 8 3 5" xfId="9785" xr:uid="{00000000-0005-0000-0000-000020640000}"/>
    <cellStyle name="Note 8 3 5 2" xfId="17743" xr:uid="{00000000-0005-0000-0000-000021640000}"/>
    <cellStyle name="Note 8 3 5 3" xfId="25687" xr:uid="{00000000-0005-0000-0000-000022640000}"/>
    <cellStyle name="Note 8 3 6" xfId="10681" xr:uid="{00000000-0005-0000-0000-000023640000}"/>
    <cellStyle name="Note 8 3 7" xfId="18636" xr:uid="{00000000-0005-0000-0000-000024640000}"/>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3" xfId="24964" xr:uid="{00000000-0005-0000-0000-00002B640000}"/>
    <cellStyle name="Note 8 4 2 2 3" xfId="13480" xr:uid="{00000000-0005-0000-0000-00002C640000}"/>
    <cellStyle name="Note 8 4 2 2 4" xfId="21435" xr:uid="{00000000-0005-0000-0000-00002D640000}"/>
    <cellStyle name="Note 8 4 2 3" xfId="7288" xr:uid="{00000000-0005-0000-0000-00002E640000}"/>
    <cellStyle name="Note 8 4 2 3 2" xfId="15260" xr:uid="{00000000-0005-0000-0000-00002F640000}"/>
    <cellStyle name="Note 8 4 2 3 3" xfId="23207" xr:uid="{00000000-0005-0000-0000-000030640000}"/>
    <cellStyle name="Note 8 4 2 4" xfId="11724" xr:uid="{00000000-0005-0000-0000-000031640000}"/>
    <cellStyle name="Note 8 4 2 5" xfId="19679" xr:uid="{00000000-0005-0000-0000-000032640000}"/>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3" xfId="24086" xr:uid="{00000000-0005-0000-0000-000037640000}"/>
    <cellStyle name="Note 8 4 3 3" xfId="12602" xr:uid="{00000000-0005-0000-0000-000038640000}"/>
    <cellStyle name="Note 8 4 3 4" xfId="20557" xr:uid="{00000000-0005-0000-0000-000039640000}"/>
    <cellStyle name="Note 8 4 4" xfId="6409" xr:uid="{00000000-0005-0000-0000-00003A640000}"/>
    <cellStyle name="Note 8 4 4 2" xfId="14382" xr:uid="{00000000-0005-0000-0000-00003B640000}"/>
    <cellStyle name="Note 8 4 4 3" xfId="22329" xr:uid="{00000000-0005-0000-0000-00003C640000}"/>
    <cellStyle name="Note 8 4 5" xfId="9950" xr:uid="{00000000-0005-0000-0000-00003D640000}"/>
    <cellStyle name="Note 8 4 5 2" xfId="17908" xr:uid="{00000000-0005-0000-0000-00003E640000}"/>
    <cellStyle name="Note 8 4 5 3" xfId="25852" xr:uid="{00000000-0005-0000-0000-00003F640000}"/>
    <cellStyle name="Note 8 4 6" xfId="10846" xr:uid="{00000000-0005-0000-0000-000040640000}"/>
    <cellStyle name="Note 8 4 7" xfId="18801" xr:uid="{00000000-0005-0000-0000-000041640000}"/>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3" xfId="24796" xr:uid="{00000000-0005-0000-0000-000047640000}"/>
    <cellStyle name="Note 8 5 2 3" xfId="13312" xr:uid="{00000000-0005-0000-0000-000048640000}"/>
    <cellStyle name="Note 8 5 2 4" xfId="21267" xr:uid="{00000000-0005-0000-0000-000049640000}"/>
    <cellStyle name="Note 8 5 3" xfId="7120" xr:uid="{00000000-0005-0000-0000-00004A640000}"/>
    <cellStyle name="Note 8 5 3 2" xfId="15092" xr:uid="{00000000-0005-0000-0000-00004B640000}"/>
    <cellStyle name="Note 8 5 3 3" xfId="23039" xr:uid="{00000000-0005-0000-0000-00004C640000}"/>
    <cellStyle name="Note 8 5 4" xfId="11556" xr:uid="{00000000-0005-0000-0000-00004D640000}"/>
    <cellStyle name="Note 8 5 5" xfId="19511" xr:uid="{00000000-0005-0000-0000-00004E640000}"/>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3" xfId="23918" xr:uid="{00000000-0005-0000-0000-000053640000}"/>
    <cellStyle name="Note 8 6 3" xfId="12434" xr:uid="{00000000-0005-0000-0000-000054640000}"/>
    <cellStyle name="Note 8 6 4" xfId="20389" xr:uid="{00000000-0005-0000-0000-000055640000}"/>
    <cellStyle name="Note 8 7" xfId="6229" xr:uid="{00000000-0005-0000-0000-000056640000}"/>
    <cellStyle name="Note 8 7 2" xfId="14213" xr:uid="{00000000-0005-0000-0000-000057640000}"/>
    <cellStyle name="Note 8 7 3" xfId="22161" xr:uid="{00000000-0005-0000-0000-000058640000}"/>
    <cellStyle name="Note 8 8" xfId="9782" xr:uid="{00000000-0005-0000-0000-000059640000}"/>
    <cellStyle name="Note 8 8 2" xfId="17740" xr:uid="{00000000-0005-0000-0000-00005A640000}"/>
    <cellStyle name="Note 8 8 3" xfId="25684" xr:uid="{00000000-0005-0000-0000-00005B640000}"/>
    <cellStyle name="Note 8 9" xfId="10678" xr:uid="{00000000-0005-0000-0000-00005C640000}"/>
    <cellStyle name="Note 8_Exh G" xfId="3677" xr:uid="{00000000-0005-0000-0000-00005D640000}"/>
    <cellStyle name="Note 9" xfId="734" xr:uid="{00000000-0005-0000-0000-00005E640000}"/>
    <cellStyle name="Note 9 10" xfId="18637" xr:uid="{00000000-0005-0000-0000-00005F640000}"/>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3" xfId="24802" xr:uid="{00000000-0005-0000-0000-000066640000}"/>
    <cellStyle name="Note 9 2 2 2 2 3" xfId="13318" xr:uid="{00000000-0005-0000-0000-000067640000}"/>
    <cellStyle name="Note 9 2 2 2 2 4" xfId="21273" xr:uid="{00000000-0005-0000-0000-000068640000}"/>
    <cellStyle name="Note 9 2 2 2 3" xfId="7126" xr:uid="{00000000-0005-0000-0000-000069640000}"/>
    <cellStyle name="Note 9 2 2 2 3 2" xfId="15098" xr:uid="{00000000-0005-0000-0000-00006A640000}"/>
    <cellStyle name="Note 9 2 2 2 3 3" xfId="23045" xr:uid="{00000000-0005-0000-0000-00006B640000}"/>
    <cellStyle name="Note 9 2 2 2 4" xfId="11562" xr:uid="{00000000-0005-0000-0000-00006C640000}"/>
    <cellStyle name="Note 9 2 2 2 5" xfId="19517" xr:uid="{00000000-0005-0000-0000-00006D640000}"/>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3" xfId="23924" xr:uid="{00000000-0005-0000-0000-000072640000}"/>
    <cellStyle name="Note 9 2 2 3 3" xfId="12440" xr:uid="{00000000-0005-0000-0000-000073640000}"/>
    <cellStyle name="Note 9 2 2 3 4" xfId="20395" xr:uid="{00000000-0005-0000-0000-000074640000}"/>
    <cellStyle name="Note 9 2 2 4" xfId="6235" xr:uid="{00000000-0005-0000-0000-000075640000}"/>
    <cellStyle name="Note 9 2 2 4 2" xfId="14219" xr:uid="{00000000-0005-0000-0000-000076640000}"/>
    <cellStyle name="Note 9 2 2 4 3" xfId="22167" xr:uid="{00000000-0005-0000-0000-000077640000}"/>
    <cellStyle name="Note 9 2 2 5" xfId="9788" xr:uid="{00000000-0005-0000-0000-000078640000}"/>
    <cellStyle name="Note 9 2 2 5 2" xfId="17746" xr:uid="{00000000-0005-0000-0000-000079640000}"/>
    <cellStyle name="Note 9 2 2 5 3" xfId="25690" xr:uid="{00000000-0005-0000-0000-00007A640000}"/>
    <cellStyle name="Note 9 2 2 6" xfId="10684" xr:uid="{00000000-0005-0000-0000-00007B640000}"/>
    <cellStyle name="Note 9 2 2 7" xfId="18639" xr:uid="{00000000-0005-0000-0000-00007C640000}"/>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3" xfId="24801" xr:uid="{00000000-0005-0000-0000-000082640000}"/>
    <cellStyle name="Note 9 2 3 2 3" xfId="13317" xr:uid="{00000000-0005-0000-0000-000083640000}"/>
    <cellStyle name="Note 9 2 3 2 4" xfId="21272" xr:uid="{00000000-0005-0000-0000-000084640000}"/>
    <cellStyle name="Note 9 2 3 3" xfId="7125" xr:uid="{00000000-0005-0000-0000-000085640000}"/>
    <cellStyle name="Note 9 2 3 3 2" xfId="15097" xr:uid="{00000000-0005-0000-0000-000086640000}"/>
    <cellStyle name="Note 9 2 3 3 3" xfId="23044" xr:uid="{00000000-0005-0000-0000-000087640000}"/>
    <cellStyle name="Note 9 2 3 4" xfId="11561" xr:uid="{00000000-0005-0000-0000-000088640000}"/>
    <cellStyle name="Note 9 2 3 5" xfId="19516" xr:uid="{00000000-0005-0000-0000-000089640000}"/>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3" xfId="23923" xr:uid="{00000000-0005-0000-0000-00008E640000}"/>
    <cellStyle name="Note 9 2 4 3" xfId="12439" xr:uid="{00000000-0005-0000-0000-00008F640000}"/>
    <cellStyle name="Note 9 2 4 4" xfId="20394" xr:uid="{00000000-0005-0000-0000-000090640000}"/>
    <cellStyle name="Note 9 2 5" xfId="6234" xr:uid="{00000000-0005-0000-0000-000091640000}"/>
    <cellStyle name="Note 9 2 5 2" xfId="14218" xr:uid="{00000000-0005-0000-0000-000092640000}"/>
    <cellStyle name="Note 9 2 5 3" xfId="22166" xr:uid="{00000000-0005-0000-0000-000093640000}"/>
    <cellStyle name="Note 9 2 6" xfId="9787" xr:uid="{00000000-0005-0000-0000-000094640000}"/>
    <cellStyle name="Note 9 2 6 2" xfId="17745" xr:uid="{00000000-0005-0000-0000-000095640000}"/>
    <cellStyle name="Note 9 2 6 3" xfId="25689" xr:uid="{00000000-0005-0000-0000-000096640000}"/>
    <cellStyle name="Note 9 2 7" xfId="10683" xr:uid="{00000000-0005-0000-0000-000097640000}"/>
    <cellStyle name="Note 9 2 8" xfId="18638" xr:uid="{00000000-0005-0000-0000-000098640000}"/>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3" xfId="24803" xr:uid="{00000000-0005-0000-0000-00009F640000}"/>
    <cellStyle name="Note 9 3 2 2 3" xfId="13319" xr:uid="{00000000-0005-0000-0000-0000A0640000}"/>
    <cellStyle name="Note 9 3 2 2 4" xfId="21274" xr:uid="{00000000-0005-0000-0000-0000A1640000}"/>
    <cellStyle name="Note 9 3 2 3" xfId="7127" xr:uid="{00000000-0005-0000-0000-0000A2640000}"/>
    <cellStyle name="Note 9 3 2 3 2" xfId="15099" xr:uid="{00000000-0005-0000-0000-0000A3640000}"/>
    <cellStyle name="Note 9 3 2 3 3" xfId="23046" xr:uid="{00000000-0005-0000-0000-0000A4640000}"/>
    <cellStyle name="Note 9 3 2 4" xfId="11563" xr:uid="{00000000-0005-0000-0000-0000A5640000}"/>
    <cellStyle name="Note 9 3 2 5" xfId="19518" xr:uid="{00000000-0005-0000-0000-0000A6640000}"/>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3" xfId="23925" xr:uid="{00000000-0005-0000-0000-0000AB640000}"/>
    <cellStyle name="Note 9 3 3 3" xfId="12441" xr:uid="{00000000-0005-0000-0000-0000AC640000}"/>
    <cellStyle name="Note 9 3 3 4" xfId="20396" xr:uid="{00000000-0005-0000-0000-0000AD640000}"/>
    <cellStyle name="Note 9 3 4" xfId="6236" xr:uid="{00000000-0005-0000-0000-0000AE640000}"/>
    <cellStyle name="Note 9 3 4 2" xfId="14220" xr:uid="{00000000-0005-0000-0000-0000AF640000}"/>
    <cellStyle name="Note 9 3 4 3" xfId="22168" xr:uid="{00000000-0005-0000-0000-0000B0640000}"/>
    <cellStyle name="Note 9 3 5" xfId="9789" xr:uid="{00000000-0005-0000-0000-0000B1640000}"/>
    <cellStyle name="Note 9 3 5 2" xfId="17747" xr:uid="{00000000-0005-0000-0000-0000B2640000}"/>
    <cellStyle name="Note 9 3 5 3" xfId="25691" xr:uid="{00000000-0005-0000-0000-0000B3640000}"/>
    <cellStyle name="Note 9 3 6" xfId="10685" xr:uid="{00000000-0005-0000-0000-0000B4640000}"/>
    <cellStyle name="Note 9 3 7" xfId="18640" xr:uid="{00000000-0005-0000-0000-0000B5640000}"/>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3" xfId="24965" xr:uid="{00000000-0005-0000-0000-0000BC640000}"/>
    <cellStyle name="Note 9 4 2 2 3" xfId="13481" xr:uid="{00000000-0005-0000-0000-0000BD640000}"/>
    <cellStyle name="Note 9 4 2 2 4" xfId="21436" xr:uid="{00000000-0005-0000-0000-0000BE640000}"/>
    <cellStyle name="Note 9 4 2 3" xfId="7289" xr:uid="{00000000-0005-0000-0000-0000BF640000}"/>
    <cellStyle name="Note 9 4 2 3 2" xfId="15261" xr:uid="{00000000-0005-0000-0000-0000C0640000}"/>
    <cellStyle name="Note 9 4 2 3 3" xfId="23208" xr:uid="{00000000-0005-0000-0000-0000C1640000}"/>
    <cellStyle name="Note 9 4 2 4" xfId="11725" xr:uid="{00000000-0005-0000-0000-0000C2640000}"/>
    <cellStyle name="Note 9 4 2 5" xfId="19680" xr:uid="{00000000-0005-0000-0000-0000C364000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3" xfId="24087" xr:uid="{00000000-0005-0000-0000-0000C8640000}"/>
    <cellStyle name="Note 9 4 3 3" xfId="12603" xr:uid="{00000000-0005-0000-0000-0000C9640000}"/>
    <cellStyle name="Note 9 4 3 4" xfId="20558" xr:uid="{00000000-0005-0000-0000-0000CA640000}"/>
    <cellStyle name="Note 9 4 4" xfId="6410" xr:uid="{00000000-0005-0000-0000-0000CB640000}"/>
    <cellStyle name="Note 9 4 4 2" xfId="14383" xr:uid="{00000000-0005-0000-0000-0000CC640000}"/>
    <cellStyle name="Note 9 4 4 3" xfId="22330" xr:uid="{00000000-0005-0000-0000-0000CD640000}"/>
    <cellStyle name="Note 9 4 5" xfId="9951" xr:uid="{00000000-0005-0000-0000-0000CE640000}"/>
    <cellStyle name="Note 9 4 5 2" xfId="17909" xr:uid="{00000000-0005-0000-0000-0000CF640000}"/>
    <cellStyle name="Note 9 4 5 3" xfId="25853" xr:uid="{00000000-0005-0000-0000-0000D0640000}"/>
    <cellStyle name="Note 9 4 6" xfId="10847" xr:uid="{00000000-0005-0000-0000-0000D1640000}"/>
    <cellStyle name="Note 9 4 7" xfId="18802" xr:uid="{00000000-0005-0000-0000-0000D2640000}"/>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3" xfId="24800" xr:uid="{00000000-0005-0000-0000-0000D8640000}"/>
    <cellStyle name="Note 9 5 2 3" xfId="13316" xr:uid="{00000000-0005-0000-0000-0000D9640000}"/>
    <cellStyle name="Note 9 5 2 4" xfId="21271" xr:uid="{00000000-0005-0000-0000-0000DA640000}"/>
    <cellStyle name="Note 9 5 3" xfId="7124" xr:uid="{00000000-0005-0000-0000-0000DB640000}"/>
    <cellStyle name="Note 9 5 3 2" xfId="15096" xr:uid="{00000000-0005-0000-0000-0000DC640000}"/>
    <cellStyle name="Note 9 5 3 3" xfId="23043" xr:uid="{00000000-0005-0000-0000-0000DD640000}"/>
    <cellStyle name="Note 9 5 4" xfId="11560" xr:uid="{00000000-0005-0000-0000-0000DE640000}"/>
    <cellStyle name="Note 9 5 5" xfId="19515" xr:uid="{00000000-0005-0000-0000-0000DF640000}"/>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3" xfId="23922" xr:uid="{00000000-0005-0000-0000-0000E4640000}"/>
    <cellStyle name="Note 9 6 3" xfId="12438" xr:uid="{00000000-0005-0000-0000-0000E5640000}"/>
    <cellStyle name="Note 9 6 4" xfId="20393" xr:uid="{00000000-0005-0000-0000-0000E6640000}"/>
    <cellStyle name="Note 9 7" xfId="6233" xr:uid="{00000000-0005-0000-0000-0000E7640000}"/>
    <cellStyle name="Note 9 7 2" xfId="14217" xr:uid="{00000000-0005-0000-0000-0000E8640000}"/>
    <cellStyle name="Note 9 7 3" xfId="22165" xr:uid="{00000000-0005-0000-0000-0000E9640000}"/>
    <cellStyle name="Note 9 8" xfId="9786" xr:uid="{00000000-0005-0000-0000-0000EA640000}"/>
    <cellStyle name="Note 9 8 2" xfId="17744" xr:uid="{00000000-0005-0000-0000-0000EB640000}"/>
    <cellStyle name="Note 9 8 3" xfId="25688" xr:uid="{00000000-0005-0000-0000-0000EC640000}"/>
    <cellStyle name="Note 9 9" xfId="10682" xr:uid="{00000000-0005-0000-0000-0000ED640000}"/>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3" xfId="5460" xr:uid="{00000000-0005-0000-0000-0000FA640000}"/>
    <cellStyle name="Output Line Items 3 2" xfId="13482" xr:uid="{00000000-0005-0000-0000-0000FB640000}"/>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142</xdr:row>
      <xdr:rowOff>13607</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765625" defaultRowHeight="12.5"/>
  <cols>
    <col min="1" max="1" width="2.07421875" style="580" customWidth="1"/>
    <col min="2" max="2" width="22.765625" style="580" customWidth="1"/>
    <col min="3" max="3" width="6" style="580" customWidth="1"/>
    <col min="4" max="4" width="24.07421875" style="580" customWidth="1"/>
    <col min="5" max="6" width="12.4609375" style="580" customWidth="1"/>
    <col min="7" max="7" width="4" style="580" customWidth="1"/>
    <col min="8" max="8" width="12.4609375" style="580" customWidth="1"/>
    <col min="9" max="9" width="12" style="580" customWidth="1"/>
    <col min="10" max="10" width="3.765625" style="580" customWidth="1"/>
    <col min="11" max="11" width="28.4609375" style="580" customWidth="1"/>
    <col min="12" max="16384" width="8.765625" style="580"/>
  </cols>
  <sheetData>
    <row r="1" spans="1:10" s="577" customFormat="1" ht="13">
      <c r="A1" s="575"/>
      <c r="B1" s="575"/>
      <c r="C1" s="575"/>
      <c r="D1" s="575"/>
      <c r="E1" s="575"/>
      <c r="F1" s="575"/>
      <c r="G1" s="575"/>
      <c r="H1" s="575"/>
      <c r="I1" s="575"/>
      <c r="J1" s="576"/>
    </row>
    <row r="2" spans="1:10" s="577" customFormat="1" ht="13">
      <c r="A2" s="575"/>
      <c r="B2" s="575"/>
      <c r="C2" s="575"/>
      <c r="D2" s="575"/>
      <c r="E2" s="575"/>
      <c r="F2" s="575"/>
      <c r="G2" s="575"/>
      <c r="H2" s="575"/>
      <c r="I2" s="575"/>
      <c r="J2" s="576"/>
    </row>
    <row r="3" spans="1:10" s="577" customFormat="1" ht="13">
      <c r="A3" s="575"/>
      <c r="B3" s="575"/>
      <c r="C3" s="575"/>
      <c r="D3" s="575"/>
      <c r="E3" s="575"/>
      <c r="F3" s="575"/>
      <c r="G3" s="575"/>
      <c r="H3" s="575"/>
      <c r="I3" s="575"/>
      <c r="J3" s="576"/>
    </row>
    <row r="4" spans="1:10" s="577" customFormat="1" ht="13">
      <c r="A4" s="575" t="s">
        <v>850</v>
      </c>
      <c r="B4" s="575"/>
      <c r="C4" s="575"/>
      <c r="D4" s="575"/>
      <c r="E4" s="575"/>
      <c r="F4" s="575"/>
      <c r="G4" s="575"/>
      <c r="H4" s="575"/>
      <c r="I4" s="766" t="s">
        <v>846</v>
      </c>
      <c r="J4" s="576"/>
    </row>
    <row r="5" spans="1:10" ht="18">
      <c r="A5" s="575" t="s">
        <v>848</v>
      </c>
      <c r="B5" s="578"/>
      <c r="C5" s="578"/>
      <c r="D5" s="578"/>
      <c r="E5" s="578"/>
      <c r="F5" s="578"/>
      <c r="G5" s="578"/>
      <c r="H5" s="578"/>
      <c r="I5" s="766" t="s">
        <v>847</v>
      </c>
      <c r="J5" s="579"/>
    </row>
    <row r="6" spans="1:10" ht="18">
      <c r="A6" s="575" t="s">
        <v>725</v>
      </c>
      <c r="B6" s="578"/>
      <c r="C6" s="578"/>
      <c r="D6" s="578"/>
      <c r="E6" s="578"/>
      <c r="F6" s="578"/>
      <c r="G6" s="578"/>
      <c r="H6" s="578"/>
      <c r="I6" s="578"/>
      <c r="J6" s="579"/>
    </row>
    <row r="7" spans="1:10" ht="18">
      <c r="A7" s="575" t="s">
        <v>726</v>
      </c>
      <c r="B7" s="578"/>
      <c r="C7" s="578"/>
      <c r="D7" s="578"/>
      <c r="E7" s="578"/>
      <c r="F7" s="578"/>
      <c r="G7" s="578"/>
      <c r="H7" s="578"/>
      <c r="I7" s="578"/>
      <c r="J7" s="579"/>
    </row>
    <row r="8" spans="1:10" ht="18.5" thickBot="1">
      <c r="A8" s="578"/>
      <c r="B8" s="578"/>
      <c r="C8" s="578"/>
      <c r="D8" s="578"/>
      <c r="E8" s="578"/>
      <c r="F8" s="578"/>
      <c r="G8" s="578"/>
      <c r="H8" s="578"/>
      <c r="I8" s="578"/>
      <c r="J8" s="579"/>
    </row>
    <row r="9" spans="1:10" ht="18.5" thickTop="1">
      <c r="A9" s="581" t="s">
        <v>727</v>
      </c>
      <c r="B9" s="582"/>
      <c r="C9" s="582"/>
      <c r="D9" s="582"/>
      <c r="E9" s="582"/>
      <c r="F9" s="582"/>
      <c r="G9" s="582"/>
      <c r="H9" s="582"/>
      <c r="I9" s="582"/>
      <c r="J9" s="583"/>
    </row>
    <row r="10" spans="1:10" ht="18.5" thickBot="1">
      <c r="A10" s="1530" t="s">
        <v>1410</v>
      </c>
      <c r="B10" s="578"/>
      <c r="C10" s="578"/>
      <c r="D10" s="578"/>
      <c r="E10" s="578"/>
      <c r="F10" s="578"/>
      <c r="G10" s="578"/>
      <c r="H10" s="578"/>
      <c r="I10" s="578"/>
      <c r="J10" s="583"/>
    </row>
    <row r="11" spans="1:10" ht="18.5" thickTop="1">
      <c r="A11" s="584"/>
      <c r="B11" s="585"/>
      <c r="C11" s="585"/>
      <c r="D11" s="585"/>
      <c r="E11" s="585"/>
      <c r="F11" s="585"/>
      <c r="G11" s="585"/>
      <c r="H11" s="585"/>
      <c r="I11" s="585"/>
      <c r="J11" s="586"/>
    </row>
    <row r="12" spans="1:10" ht="13">
      <c r="A12" s="575" t="s">
        <v>728</v>
      </c>
      <c r="B12" s="578"/>
      <c r="C12" s="578"/>
      <c r="D12" s="578"/>
      <c r="E12" s="575"/>
      <c r="F12" s="575"/>
      <c r="G12" s="575"/>
      <c r="H12" s="578"/>
      <c r="I12" s="578"/>
      <c r="J12" s="587"/>
    </row>
    <row r="13" spans="1:10" ht="13">
      <c r="A13" s="577"/>
      <c r="J13" s="587"/>
    </row>
    <row r="14" spans="1:10" ht="13">
      <c r="A14" s="577" t="s">
        <v>729</v>
      </c>
      <c r="B14" s="590"/>
      <c r="J14" s="588"/>
    </row>
    <row r="15" spans="1:10" ht="13">
      <c r="A15" s="577"/>
      <c r="B15" s="648"/>
      <c r="J15" s="588"/>
    </row>
    <row r="16" spans="1:10" ht="13">
      <c r="A16" s="577"/>
      <c r="B16" s="1370" t="s">
        <v>760</v>
      </c>
      <c r="D16" s="589" t="s">
        <v>730</v>
      </c>
      <c r="F16" s="590"/>
      <c r="J16" s="649">
        <v>2</v>
      </c>
    </row>
    <row r="17" spans="1:255" ht="13">
      <c r="A17" s="577"/>
      <c r="B17" s="1370" t="s">
        <v>761</v>
      </c>
      <c r="D17" s="580" t="s">
        <v>1069</v>
      </c>
      <c r="E17" s="592"/>
      <c r="F17" s="593"/>
      <c r="G17" s="592"/>
      <c r="H17" s="592"/>
      <c r="I17" s="592"/>
      <c r="J17" s="649">
        <v>3</v>
      </c>
      <c r="M17" s="594"/>
    </row>
    <row r="18" spans="1:255" ht="13">
      <c r="A18" s="595"/>
      <c r="B18" s="1365" t="s">
        <v>1196</v>
      </c>
      <c r="D18" s="597" t="s">
        <v>883</v>
      </c>
      <c r="E18" s="589"/>
      <c r="F18" s="589"/>
      <c r="G18" s="589"/>
      <c r="H18" s="589"/>
      <c r="I18" s="589"/>
      <c r="J18" s="649">
        <v>4</v>
      </c>
    </row>
    <row r="19" spans="1:255" ht="13">
      <c r="A19" s="577"/>
      <c r="B19" s="1365" t="s">
        <v>762</v>
      </c>
      <c r="D19" s="596" t="s">
        <v>731</v>
      </c>
      <c r="E19" s="596"/>
      <c r="F19" s="596"/>
      <c r="G19" s="596"/>
      <c r="H19" s="596"/>
      <c r="I19" s="596"/>
      <c r="J19" s="649">
        <v>5</v>
      </c>
      <c r="M19" s="594"/>
    </row>
    <row r="20" spans="1:255" ht="13">
      <c r="A20" s="577"/>
      <c r="B20" s="1365" t="s">
        <v>763</v>
      </c>
      <c r="D20" s="596" t="s">
        <v>732</v>
      </c>
      <c r="E20" s="596"/>
      <c r="F20" s="596"/>
      <c r="G20" s="596"/>
      <c r="H20" s="596"/>
      <c r="I20" s="596"/>
      <c r="J20" s="649">
        <v>6</v>
      </c>
      <c r="M20" s="594"/>
    </row>
    <row r="21" spans="1:255" ht="13">
      <c r="A21" s="577"/>
      <c r="B21" s="1365" t="s">
        <v>1033</v>
      </c>
      <c r="D21" s="597" t="s">
        <v>1070</v>
      </c>
      <c r="E21" s="596"/>
      <c r="F21" s="596"/>
      <c r="G21" s="596"/>
      <c r="H21" s="596"/>
      <c r="I21" s="596"/>
      <c r="J21" s="649">
        <v>7</v>
      </c>
      <c r="M21" s="594"/>
    </row>
    <row r="22" spans="1:255" ht="13">
      <c r="A22" s="577"/>
      <c r="B22" s="1365" t="s">
        <v>1034</v>
      </c>
      <c r="D22" s="597" t="s">
        <v>1071</v>
      </c>
      <c r="E22" s="596"/>
      <c r="F22" s="596"/>
      <c r="G22" s="596"/>
      <c r="H22" s="596"/>
      <c r="I22" s="596"/>
      <c r="J22" s="649">
        <v>8</v>
      </c>
      <c r="M22" s="594"/>
    </row>
    <row r="23" spans="1:255" ht="13">
      <c r="A23" s="577"/>
      <c r="B23" s="1365" t="s">
        <v>1035</v>
      </c>
      <c r="D23" s="597" t="s">
        <v>1078</v>
      </c>
      <c r="E23" s="596"/>
      <c r="F23" s="596"/>
      <c r="G23" s="596"/>
      <c r="H23" s="596"/>
      <c r="I23" s="596"/>
      <c r="J23" s="649">
        <v>9</v>
      </c>
      <c r="M23" s="594"/>
    </row>
    <row r="24" spans="1:255" ht="13">
      <c r="A24" s="577"/>
      <c r="B24" s="1365" t="s">
        <v>1036</v>
      </c>
      <c r="D24" s="597" t="s">
        <v>1072</v>
      </c>
      <c r="E24" s="596"/>
      <c r="F24" s="596"/>
      <c r="G24" s="596"/>
      <c r="H24" s="596"/>
      <c r="I24" s="596"/>
      <c r="J24" s="649">
        <v>10</v>
      </c>
      <c r="M24" s="594"/>
    </row>
    <row r="25" spans="1:255" ht="13">
      <c r="A25" s="577"/>
      <c r="B25" s="1365" t="s">
        <v>1037</v>
      </c>
      <c r="D25" s="597" t="s">
        <v>1073</v>
      </c>
      <c r="E25" s="596"/>
      <c r="F25" s="596"/>
      <c r="G25" s="596"/>
      <c r="H25" s="596"/>
      <c r="I25" s="596"/>
      <c r="J25" s="649">
        <v>11</v>
      </c>
      <c r="M25" s="594"/>
    </row>
    <row r="26" spans="1:255" ht="13">
      <c r="A26" s="577"/>
      <c r="B26" s="1365" t="s">
        <v>1038</v>
      </c>
      <c r="D26" s="597" t="s">
        <v>1074</v>
      </c>
      <c r="E26" s="596"/>
      <c r="F26" s="596"/>
      <c r="G26" s="596"/>
      <c r="H26" s="596"/>
      <c r="I26" s="596"/>
      <c r="J26" s="649">
        <v>12</v>
      </c>
      <c r="M26" s="594"/>
    </row>
    <row r="27" spans="1:255" ht="13">
      <c r="A27" s="577"/>
      <c r="B27" s="1365" t="s">
        <v>1039</v>
      </c>
      <c r="D27" s="597" t="s">
        <v>1075</v>
      </c>
      <c r="E27" s="596"/>
      <c r="F27" s="596"/>
      <c r="G27" s="596"/>
      <c r="H27" s="596"/>
      <c r="I27" s="596"/>
      <c r="J27" s="649">
        <v>13</v>
      </c>
      <c r="M27" s="594"/>
    </row>
    <row r="28" spans="1:255" ht="13">
      <c r="A28" s="577"/>
      <c r="B28" s="1365" t="s">
        <v>1040</v>
      </c>
      <c r="D28" s="597" t="s">
        <v>1076</v>
      </c>
      <c r="E28" s="596"/>
      <c r="F28" s="596"/>
      <c r="G28" s="596"/>
      <c r="H28" s="596"/>
      <c r="I28" s="596"/>
      <c r="J28" s="649">
        <v>14</v>
      </c>
      <c r="M28" s="594"/>
    </row>
    <row r="29" spans="1:255" ht="13">
      <c r="A29" s="577"/>
      <c r="B29" s="1365" t="s">
        <v>764</v>
      </c>
      <c r="D29" s="598" t="s">
        <v>733</v>
      </c>
      <c r="E29" s="596"/>
      <c r="F29" s="596"/>
      <c r="G29" s="596"/>
      <c r="H29" s="596"/>
      <c r="I29" s="596"/>
      <c r="J29" s="649">
        <v>15</v>
      </c>
      <c r="M29" s="594"/>
    </row>
    <row r="30" spans="1:255" ht="13">
      <c r="A30" s="577"/>
      <c r="B30" s="1370" t="s">
        <v>782</v>
      </c>
      <c r="D30" s="597" t="s">
        <v>1077</v>
      </c>
      <c r="E30" s="597"/>
      <c r="F30" s="597"/>
      <c r="G30" s="597"/>
      <c r="H30" s="597"/>
      <c r="I30" s="597"/>
      <c r="J30" s="649">
        <v>16</v>
      </c>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577"/>
      <c r="BT30" s="577"/>
      <c r="BU30" s="577"/>
      <c r="BV30" s="577"/>
      <c r="BW30" s="577"/>
      <c r="BX30" s="577"/>
      <c r="BY30" s="577"/>
      <c r="BZ30" s="577"/>
      <c r="CA30" s="577"/>
      <c r="CB30" s="577"/>
      <c r="CC30" s="577"/>
      <c r="CD30" s="577"/>
      <c r="CE30" s="577"/>
      <c r="CF30" s="577"/>
      <c r="CG30" s="577"/>
      <c r="CH30" s="577"/>
      <c r="CI30" s="577"/>
      <c r="CJ30" s="577"/>
      <c r="CK30" s="577"/>
      <c r="CL30" s="577"/>
      <c r="CM30" s="577"/>
      <c r="CN30" s="577"/>
      <c r="CO30" s="577"/>
      <c r="CP30" s="577"/>
      <c r="CQ30" s="577"/>
      <c r="CR30" s="577"/>
      <c r="CS30" s="577"/>
      <c r="CT30" s="577"/>
      <c r="CU30" s="577"/>
      <c r="CV30" s="577"/>
      <c r="CW30" s="577"/>
      <c r="CX30" s="577"/>
      <c r="CY30" s="577"/>
      <c r="CZ30" s="577"/>
      <c r="DA30" s="577"/>
      <c r="DB30" s="577"/>
      <c r="DC30" s="577"/>
      <c r="DD30" s="577"/>
      <c r="DE30" s="577"/>
      <c r="DF30" s="577"/>
      <c r="DG30" s="577"/>
      <c r="DH30" s="577"/>
      <c r="DI30" s="577"/>
      <c r="DJ30" s="577"/>
      <c r="DK30" s="577"/>
      <c r="DL30" s="577"/>
      <c r="DM30" s="577"/>
      <c r="DN30" s="577"/>
      <c r="DO30" s="577"/>
      <c r="DP30" s="577"/>
      <c r="DQ30" s="577"/>
      <c r="DR30" s="577"/>
      <c r="DS30" s="577"/>
      <c r="DT30" s="577"/>
      <c r="DU30" s="577"/>
      <c r="DV30" s="577"/>
      <c r="DW30" s="577"/>
      <c r="DX30" s="577"/>
      <c r="DY30" s="577"/>
      <c r="DZ30" s="577"/>
      <c r="EA30" s="577"/>
      <c r="EB30" s="577"/>
      <c r="EC30" s="577"/>
      <c r="ED30" s="577"/>
      <c r="EE30" s="577"/>
      <c r="EF30" s="577"/>
      <c r="EG30" s="577"/>
      <c r="EH30" s="577"/>
      <c r="EI30" s="577"/>
      <c r="EJ30" s="577"/>
      <c r="EK30" s="577"/>
      <c r="EL30" s="577"/>
      <c r="EM30" s="577"/>
      <c r="EN30" s="577"/>
      <c r="EO30" s="577"/>
      <c r="EP30" s="577"/>
      <c r="EQ30" s="577"/>
      <c r="ER30" s="577"/>
      <c r="ES30" s="577"/>
      <c r="ET30" s="577"/>
      <c r="EU30" s="577"/>
      <c r="EV30" s="577"/>
      <c r="EW30" s="577"/>
      <c r="EX30" s="577"/>
      <c r="EY30" s="577"/>
      <c r="EZ30" s="577"/>
      <c r="FA30" s="577"/>
      <c r="FB30" s="577"/>
      <c r="FC30" s="577"/>
      <c r="FD30" s="577"/>
      <c r="FE30" s="577"/>
      <c r="FF30" s="577"/>
      <c r="FG30" s="577"/>
      <c r="FH30" s="577"/>
      <c r="FI30" s="577"/>
      <c r="FJ30" s="577"/>
      <c r="FK30" s="577"/>
      <c r="FL30" s="577"/>
      <c r="FM30" s="577"/>
      <c r="FN30" s="577"/>
      <c r="FO30" s="577"/>
      <c r="FP30" s="577"/>
      <c r="FQ30" s="577"/>
      <c r="FR30" s="577"/>
      <c r="FS30" s="577"/>
      <c r="FT30" s="577"/>
      <c r="FU30" s="577"/>
      <c r="FV30" s="577"/>
      <c r="FW30" s="577"/>
      <c r="FX30" s="577"/>
      <c r="FY30" s="577"/>
      <c r="FZ30" s="577"/>
      <c r="GA30" s="577"/>
      <c r="GB30" s="577"/>
      <c r="GC30" s="577"/>
      <c r="GD30" s="577"/>
      <c r="GE30" s="577"/>
      <c r="GF30" s="577"/>
      <c r="GG30" s="577"/>
      <c r="GH30" s="577"/>
      <c r="GI30" s="577"/>
      <c r="GJ30" s="577"/>
      <c r="GK30" s="577"/>
      <c r="GL30" s="577"/>
      <c r="GM30" s="577"/>
      <c r="GN30" s="577"/>
      <c r="GO30" s="577"/>
      <c r="GP30" s="577"/>
      <c r="GQ30" s="577"/>
      <c r="GR30" s="577"/>
      <c r="GS30" s="577"/>
      <c r="GT30" s="577"/>
      <c r="GU30" s="577"/>
      <c r="GV30" s="577"/>
      <c r="GW30" s="577"/>
      <c r="GX30" s="577"/>
      <c r="GY30" s="577"/>
      <c r="GZ30" s="577"/>
      <c r="HA30" s="577"/>
      <c r="HB30" s="577"/>
      <c r="HC30" s="577"/>
      <c r="HD30" s="577"/>
      <c r="HE30" s="577"/>
      <c r="HF30" s="577"/>
      <c r="HG30" s="577"/>
      <c r="HH30" s="577"/>
      <c r="HI30" s="577"/>
      <c r="HJ30" s="577"/>
      <c r="HK30" s="577"/>
      <c r="HL30" s="577"/>
      <c r="HM30" s="577"/>
      <c r="HN30" s="577"/>
      <c r="HO30" s="577"/>
      <c r="HP30" s="577"/>
      <c r="HQ30" s="577"/>
      <c r="HR30" s="577"/>
      <c r="HS30" s="577"/>
      <c r="HT30" s="577"/>
      <c r="HU30" s="577"/>
      <c r="HV30" s="577"/>
      <c r="HW30" s="577"/>
      <c r="HX30" s="577"/>
      <c r="HY30" s="577"/>
      <c r="HZ30" s="577"/>
      <c r="IA30" s="577"/>
      <c r="IB30" s="577"/>
      <c r="IC30" s="577"/>
      <c r="ID30" s="577"/>
      <c r="IE30" s="577"/>
      <c r="IF30" s="577"/>
      <c r="IG30" s="577"/>
      <c r="IH30" s="577"/>
      <c r="II30" s="577"/>
      <c r="IJ30" s="577"/>
      <c r="IK30" s="577"/>
      <c r="IL30" s="577"/>
      <c r="IM30" s="577"/>
      <c r="IN30" s="577"/>
      <c r="IO30" s="577"/>
      <c r="IP30" s="577"/>
      <c r="IQ30" s="577"/>
      <c r="IR30" s="577"/>
      <c r="IS30" s="577"/>
      <c r="IT30" s="577"/>
      <c r="IU30" s="577"/>
    </row>
    <row r="31" spans="1:255" ht="13">
      <c r="A31" s="577"/>
      <c r="B31" s="1365" t="s">
        <v>1041</v>
      </c>
      <c r="D31" s="597" t="s">
        <v>1069</v>
      </c>
      <c r="E31" s="592"/>
      <c r="F31" s="592"/>
      <c r="G31" s="592"/>
      <c r="H31" s="592"/>
      <c r="I31" s="592"/>
      <c r="J31" s="649">
        <v>18</v>
      </c>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7"/>
      <c r="CV31" s="577"/>
      <c r="CW31" s="577"/>
      <c r="CX31" s="577"/>
      <c r="CY31" s="577"/>
      <c r="CZ31" s="577"/>
      <c r="DA31" s="577"/>
      <c r="DB31" s="577"/>
      <c r="DC31" s="577"/>
      <c r="DD31" s="577"/>
      <c r="DE31" s="577"/>
      <c r="DF31" s="577"/>
      <c r="DG31" s="577"/>
      <c r="DH31" s="577"/>
      <c r="DI31" s="577"/>
      <c r="DJ31" s="577"/>
      <c r="DK31" s="577"/>
      <c r="DL31" s="577"/>
      <c r="DM31" s="577"/>
      <c r="DN31" s="577"/>
      <c r="DO31" s="577"/>
      <c r="DP31" s="577"/>
      <c r="DQ31" s="577"/>
      <c r="DR31" s="577"/>
      <c r="DS31" s="577"/>
      <c r="DT31" s="577"/>
      <c r="DU31" s="577"/>
      <c r="DV31" s="577"/>
      <c r="DW31" s="577"/>
      <c r="DX31" s="577"/>
      <c r="DY31" s="577"/>
      <c r="DZ31" s="577"/>
      <c r="EA31" s="577"/>
      <c r="EB31" s="577"/>
      <c r="EC31" s="577"/>
      <c r="ED31" s="577"/>
      <c r="EE31" s="577"/>
      <c r="EF31" s="577"/>
      <c r="EG31" s="577"/>
      <c r="EH31" s="577"/>
      <c r="EI31" s="577"/>
      <c r="EJ31" s="577"/>
      <c r="EK31" s="577"/>
      <c r="EL31" s="577"/>
      <c r="EM31" s="577"/>
      <c r="EN31" s="577"/>
      <c r="EO31" s="577"/>
      <c r="EP31" s="577"/>
      <c r="EQ31" s="577"/>
      <c r="ER31" s="577"/>
      <c r="ES31" s="577"/>
      <c r="ET31" s="577"/>
      <c r="EU31" s="577"/>
      <c r="EV31" s="577"/>
      <c r="EW31" s="577"/>
      <c r="EX31" s="577"/>
      <c r="EY31" s="577"/>
      <c r="EZ31" s="577"/>
      <c r="FA31" s="577"/>
      <c r="FB31" s="577"/>
      <c r="FC31" s="577"/>
      <c r="FD31" s="577"/>
      <c r="FE31" s="577"/>
      <c r="FF31" s="577"/>
      <c r="FG31" s="577"/>
      <c r="FH31" s="577"/>
      <c r="FI31" s="577"/>
      <c r="FJ31" s="577"/>
      <c r="FK31" s="577"/>
      <c r="FL31" s="577"/>
      <c r="FM31" s="577"/>
      <c r="FN31" s="577"/>
      <c r="FO31" s="577"/>
      <c r="FP31" s="577"/>
      <c r="FQ31" s="577"/>
      <c r="FR31" s="577"/>
      <c r="FS31" s="577"/>
      <c r="FT31" s="577"/>
      <c r="FU31" s="577"/>
      <c r="FV31" s="577"/>
      <c r="FW31" s="577"/>
      <c r="FX31" s="577"/>
      <c r="FY31" s="577"/>
      <c r="FZ31" s="577"/>
      <c r="GA31" s="577"/>
      <c r="GB31" s="577"/>
      <c r="GC31" s="577"/>
      <c r="GD31" s="577"/>
      <c r="GE31" s="577"/>
      <c r="GF31" s="577"/>
      <c r="GG31" s="577"/>
      <c r="GH31" s="577"/>
      <c r="GI31" s="577"/>
      <c r="GJ31" s="577"/>
      <c r="GK31" s="577"/>
      <c r="GL31" s="577"/>
      <c r="GM31" s="577"/>
      <c r="GN31" s="577"/>
      <c r="GO31" s="577"/>
      <c r="GP31" s="577"/>
      <c r="GQ31" s="577"/>
      <c r="GR31" s="577"/>
      <c r="GS31" s="577"/>
      <c r="GT31" s="577"/>
      <c r="GU31" s="577"/>
      <c r="GV31" s="577"/>
      <c r="GW31" s="577"/>
      <c r="GX31" s="577"/>
      <c r="GY31" s="577"/>
      <c r="GZ31" s="577"/>
      <c r="HA31" s="577"/>
      <c r="HB31" s="577"/>
      <c r="HC31" s="577"/>
      <c r="HD31" s="577"/>
      <c r="HE31" s="577"/>
      <c r="HF31" s="577"/>
      <c r="HG31" s="577"/>
      <c r="HH31" s="577"/>
      <c r="HI31" s="577"/>
      <c r="HJ31" s="577"/>
      <c r="HK31" s="577"/>
      <c r="HL31" s="577"/>
      <c r="HM31" s="577"/>
      <c r="HN31" s="577"/>
      <c r="HO31" s="577"/>
      <c r="HP31" s="577"/>
      <c r="HQ31" s="577"/>
      <c r="HR31" s="577"/>
      <c r="HS31" s="577"/>
      <c r="HT31" s="577"/>
      <c r="HU31" s="577"/>
      <c r="HV31" s="577"/>
      <c r="HW31" s="577"/>
      <c r="HX31" s="577"/>
      <c r="HY31" s="577"/>
      <c r="HZ31" s="577"/>
      <c r="IA31" s="577"/>
      <c r="IB31" s="577"/>
      <c r="IC31" s="577"/>
      <c r="ID31" s="577"/>
      <c r="IE31" s="577"/>
      <c r="IF31" s="577"/>
      <c r="IG31" s="577"/>
      <c r="IH31" s="577"/>
      <c r="II31" s="577"/>
      <c r="IJ31" s="577"/>
      <c r="IK31" s="577"/>
      <c r="IL31" s="577"/>
      <c r="IM31" s="577"/>
      <c r="IN31" s="577"/>
      <c r="IO31" s="577"/>
      <c r="IP31" s="577"/>
      <c r="IQ31" s="577"/>
      <c r="IR31" s="577"/>
      <c r="IS31" s="577"/>
      <c r="IT31" s="577"/>
      <c r="IU31" s="577"/>
    </row>
    <row r="32" spans="1:255" ht="13">
      <c r="A32" s="577"/>
      <c r="B32" s="1365"/>
      <c r="D32" s="599"/>
      <c r="E32" s="599"/>
      <c r="F32" s="599"/>
      <c r="G32" s="599"/>
      <c r="H32" s="599"/>
      <c r="I32" s="599"/>
      <c r="J32" s="649"/>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7"/>
      <c r="CJ32" s="577"/>
      <c r="CK32" s="577"/>
      <c r="CL32" s="577"/>
      <c r="CM32" s="577"/>
      <c r="CN32" s="577"/>
      <c r="CO32" s="577"/>
      <c r="CP32" s="577"/>
      <c r="CQ32" s="577"/>
      <c r="CR32" s="577"/>
      <c r="CS32" s="577"/>
      <c r="CT32" s="577"/>
      <c r="CU32" s="577"/>
      <c r="CV32" s="577"/>
      <c r="CW32" s="577"/>
      <c r="CX32" s="577"/>
      <c r="CY32" s="577"/>
      <c r="CZ32" s="577"/>
      <c r="DA32" s="577"/>
      <c r="DB32" s="577"/>
      <c r="DC32" s="577"/>
      <c r="DD32" s="577"/>
      <c r="DE32" s="577"/>
      <c r="DF32" s="577"/>
      <c r="DG32" s="577"/>
      <c r="DH32" s="577"/>
      <c r="DI32" s="577"/>
      <c r="DJ32" s="577"/>
      <c r="DK32" s="577"/>
      <c r="DL32" s="577"/>
      <c r="DM32" s="577"/>
      <c r="DN32" s="577"/>
      <c r="DO32" s="577"/>
      <c r="DP32" s="577"/>
      <c r="DQ32" s="577"/>
      <c r="DR32" s="577"/>
      <c r="DS32" s="577"/>
      <c r="DT32" s="577"/>
      <c r="DU32" s="577"/>
      <c r="DV32" s="577"/>
      <c r="DW32" s="577"/>
      <c r="DX32" s="577"/>
      <c r="DY32" s="577"/>
      <c r="DZ32" s="577"/>
      <c r="EA32" s="577"/>
      <c r="EB32" s="577"/>
      <c r="EC32" s="577"/>
      <c r="ED32" s="577"/>
      <c r="EE32" s="577"/>
      <c r="EF32" s="577"/>
      <c r="EG32" s="577"/>
      <c r="EH32" s="577"/>
      <c r="EI32" s="577"/>
      <c r="EJ32" s="577"/>
      <c r="EK32" s="577"/>
      <c r="EL32" s="577"/>
      <c r="EM32" s="577"/>
      <c r="EN32" s="577"/>
      <c r="EO32" s="577"/>
      <c r="EP32" s="577"/>
      <c r="EQ32" s="577"/>
      <c r="ER32" s="577"/>
      <c r="ES32" s="577"/>
      <c r="ET32" s="577"/>
      <c r="EU32" s="577"/>
      <c r="EV32" s="577"/>
      <c r="EW32" s="577"/>
      <c r="EX32" s="577"/>
      <c r="EY32" s="577"/>
      <c r="EZ32" s="577"/>
      <c r="FA32" s="577"/>
      <c r="FB32" s="577"/>
      <c r="FC32" s="577"/>
      <c r="FD32" s="577"/>
      <c r="FE32" s="577"/>
      <c r="FF32" s="577"/>
      <c r="FG32" s="577"/>
      <c r="FH32" s="577"/>
      <c r="FI32" s="577"/>
      <c r="FJ32" s="577"/>
      <c r="FK32" s="577"/>
      <c r="FL32" s="577"/>
      <c r="FM32" s="577"/>
      <c r="FN32" s="577"/>
      <c r="FO32" s="577"/>
      <c r="FP32" s="577"/>
      <c r="FQ32" s="577"/>
      <c r="FR32" s="577"/>
      <c r="FS32" s="577"/>
      <c r="FT32" s="577"/>
      <c r="FU32" s="577"/>
      <c r="FV32" s="577"/>
      <c r="FW32" s="577"/>
      <c r="FX32" s="577"/>
      <c r="FY32" s="577"/>
      <c r="FZ32" s="577"/>
      <c r="GA32" s="577"/>
      <c r="GB32" s="577"/>
      <c r="GC32" s="577"/>
      <c r="GD32" s="577"/>
      <c r="GE32" s="577"/>
      <c r="GF32" s="577"/>
      <c r="GG32" s="577"/>
      <c r="GH32" s="577"/>
      <c r="GI32" s="577"/>
      <c r="GJ32" s="577"/>
      <c r="GK32" s="577"/>
      <c r="GL32" s="577"/>
      <c r="GM32" s="577"/>
      <c r="GN32" s="577"/>
      <c r="GO32" s="577"/>
      <c r="GP32" s="577"/>
      <c r="GQ32" s="577"/>
      <c r="GR32" s="577"/>
      <c r="GS32" s="577"/>
      <c r="GT32" s="577"/>
      <c r="GU32" s="577"/>
      <c r="GV32" s="577"/>
      <c r="GW32" s="577"/>
      <c r="GX32" s="577"/>
      <c r="GY32" s="577"/>
      <c r="GZ32" s="577"/>
      <c r="HA32" s="577"/>
      <c r="HB32" s="577"/>
      <c r="HC32" s="577"/>
      <c r="HD32" s="577"/>
      <c r="HE32" s="577"/>
      <c r="HF32" s="577"/>
      <c r="HG32" s="577"/>
      <c r="HH32" s="577"/>
      <c r="HI32" s="577"/>
      <c r="HJ32" s="577"/>
      <c r="HK32" s="577"/>
      <c r="HL32" s="577"/>
      <c r="HM32" s="577"/>
      <c r="HN32" s="577"/>
      <c r="HO32" s="577"/>
      <c r="HP32" s="577"/>
      <c r="HQ32" s="577"/>
      <c r="HR32" s="577"/>
      <c r="HS32" s="577"/>
      <c r="HT32" s="577"/>
      <c r="HU32" s="577"/>
      <c r="HV32" s="577"/>
      <c r="HW32" s="577"/>
      <c r="HX32" s="577"/>
      <c r="HY32" s="577"/>
      <c r="HZ32" s="577"/>
      <c r="IA32" s="577"/>
      <c r="IB32" s="577"/>
      <c r="IC32" s="577"/>
      <c r="ID32" s="577"/>
      <c r="IE32" s="577"/>
      <c r="IF32" s="577"/>
      <c r="IG32" s="577"/>
      <c r="IH32" s="577"/>
      <c r="II32" s="577"/>
      <c r="IJ32" s="577"/>
      <c r="IK32" s="577"/>
      <c r="IL32" s="577"/>
      <c r="IM32" s="577"/>
      <c r="IN32" s="577"/>
      <c r="IO32" s="577"/>
      <c r="IP32" s="577"/>
      <c r="IQ32" s="577"/>
      <c r="IR32" s="577"/>
      <c r="IS32" s="577"/>
      <c r="IT32" s="577"/>
      <c r="IU32" s="577"/>
    </row>
    <row r="33" spans="1:255" ht="13">
      <c r="A33" s="577"/>
      <c r="B33" s="1366"/>
      <c r="D33" s="599"/>
      <c r="E33" s="599"/>
      <c r="F33" s="599"/>
      <c r="G33" s="599"/>
      <c r="H33" s="599"/>
      <c r="I33" s="599"/>
      <c r="J33" s="649"/>
      <c r="M33" s="594"/>
    </row>
    <row r="34" spans="1:255" ht="13">
      <c r="A34" s="577" t="s">
        <v>734</v>
      </c>
      <c r="B34" s="1367"/>
      <c r="C34" s="577"/>
      <c r="D34" s="577"/>
      <c r="E34" s="577"/>
      <c r="F34" s="577"/>
      <c r="G34" s="577"/>
      <c r="H34" s="577"/>
      <c r="I34" s="577"/>
      <c r="J34" s="650"/>
      <c r="M34" s="594"/>
    </row>
    <row r="35" spans="1:255" ht="13">
      <c r="A35" s="577"/>
      <c r="B35" s="1367"/>
      <c r="C35" s="577"/>
      <c r="D35" s="600"/>
      <c r="E35" s="600"/>
      <c r="F35" s="600"/>
      <c r="G35" s="600"/>
      <c r="H35" s="600"/>
      <c r="I35" s="600"/>
      <c r="J35" s="651"/>
      <c r="M35" s="594"/>
    </row>
    <row r="36" spans="1:255" ht="13">
      <c r="A36" s="577"/>
      <c r="B36" s="1370" t="s">
        <v>765</v>
      </c>
      <c r="D36" s="589" t="s">
        <v>786</v>
      </c>
      <c r="E36" s="589"/>
      <c r="F36" s="589"/>
      <c r="G36" s="589"/>
      <c r="H36" s="589"/>
      <c r="I36" s="589"/>
      <c r="J36" s="649">
        <v>20</v>
      </c>
      <c r="M36" s="594"/>
    </row>
    <row r="37" spans="1:255" ht="13">
      <c r="A37" s="577"/>
      <c r="B37" s="1370" t="s">
        <v>735</v>
      </c>
      <c r="D37" s="599" t="s">
        <v>781</v>
      </c>
      <c r="E37" s="599"/>
      <c r="F37" s="599"/>
      <c r="G37" s="599"/>
      <c r="H37" s="599"/>
      <c r="I37" s="599"/>
      <c r="J37" s="649">
        <v>22</v>
      </c>
      <c r="M37" s="594"/>
    </row>
    <row r="38" spans="1:255" ht="13">
      <c r="A38" s="577"/>
      <c r="B38" s="1370" t="s">
        <v>766</v>
      </c>
      <c r="D38" s="596" t="s">
        <v>1197</v>
      </c>
      <c r="E38" s="596"/>
      <c r="F38" s="596"/>
      <c r="G38" s="596"/>
      <c r="H38" s="596"/>
      <c r="I38" s="596"/>
      <c r="J38" s="649">
        <v>24</v>
      </c>
      <c r="M38" s="594"/>
    </row>
    <row r="39" spans="1:255" ht="13">
      <c r="A39" s="577"/>
      <c r="B39" s="1370" t="s">
        <v>767</v>
      </c>
      <c r="D39" s="596" t="s">
        <v>1198</v>
      </c>
      <c r="E39" s="596"/>
      <c r="F39" s="596"/>
      <c r="G39" s="596"/>
      <c r="H39" s="596"/>
      <c r="I39" s="596"/>
      <c r="J39" s="649">
        <v>26</v>
      </c>
      <c r="M39" s="594"/>
    </row>
    <row r="40" spans="1:255" ht="13">
      <c r="A40" s="577"/>
      <c r="B40" s="1365" t="s">
        <v>736</v>
      </c>
      <c r="D40" s="596" t="s">
        <v>928</v>
      </c>
      <c r="E40" s="596"/>
      <c r="F40" s="596"/>
      <c r="G40" s="596"/>
      <c r="H40" s="596"/>
      <c r="I40" s="596"/>
      <c r="J40" s="649">
        <v>28</v>
      </c>
      <c r="M40" s="594"/>
    </row>
    <row r="41" spans="1:255" ht="13">
      <c r="A41" s="577"/>
      <c r="B41" s="1370" t="s">
        <v>737</v>
      </c>
      <c r="D41" s="596" t="s">
        <v>891</v>
      </c>
      <c r="E41" s="596"/>
      <c r="F41" s="596"/>
      <c r="G41" s="596"/>
      <c r="H41" s="596"/>
      <c r="I41" s="596"/>
      <c r="J41" s="649">
        <v>29</v>
      </c>
      <c r="M41" s="594"/>
    </row>
    <row r="42" spans="1:255" ht="13">
      <c r="A42" s="577"/>
      <c r="B42" s="1370" t="s">
        <v>768</v>
      </c>
      <c r="D42" s="596" t="s">
        <v>1199</v>
      </c>
      <c r="E42" s="596"/>
      <c r="F42" s="596"/>
      <c r="G42" s="596"/>
      <c r="H42" s="596"/>
      <c r="I42" s="596"/>
      <c r="J42" s="649">
        <v>31</v>
      </c>
      <c r="M42" s="594"/>
    </row>
    <row r="43" spans="1:255" ht="13">
      <c r="A43" s="577"/>
      <c r="B43" s="1370" t="s">
        <v>769</v>
      </c>
      <c r="D43" s="596" t="s">
        <v>1200</v>
      </c>
      <c r="E43" s="596"/>
      <c r="F43" s="596"/>
      <c r="G43" s="596"/>
      <c r="H43" s="596"/>
      <c r="I43" s="596"/>
      <c r="J43" s="649">
        <v>33</v>
      </c>
      <c r="M43" s="594"/>
    </row>
    <row r="44" spans="1:255" ht="13">
      <c r="A44" s="577"/>
      <c r="B44" s="1365" t="s">
        <v>738</v>
      </c>
      <c r="D44" s="596" t="s">
        <v>787</v>
      </c>
      <c r="E44" s="596"/>
      <c r="F44" s="596"/>
      <c r="G44" s="596"/>
      <c r="H44" s="596"/>
      <c r="I44" s="596"/>
      <c r="J44" s="649">
        <v>34</v>
      </c>
      <c r="M44" s="594"/>
    </row>
    <row r="45" spans="1:255" ht="13">
      <c r="A45" s="577"/>
      <c r="B45" s="1370" t="s">
        <v>739</v>
      </c>
      <c r="D45" s="596" t="s">
        <v>783</v>
      </c>
      <c r="E45" s="596"/>
      <c r="F45" s="596"/>
      <c r="G45" s="596"/>
      <c r="H45" s="596"/>
      <c r="I45" s="596"/>
      <c r="J45" s="649">
        <v>35</v>
      </c>
      <c r="M45" s="594"/>
    </row>
    <row r="46" spans="1:255" ht="13">
      <c r="A46" s="577"/>
      <c r="B46" s="1365" t="s">
        <v>740</v>
      </c>
      <c r="D46" s="596" t="s">
        <v>784</v>
      </c>
      <c r="E46" s="596"/>
      <c r="F46" s="596"/>
      <c r="G46" s="596"/>
      <c r="H46" s="596"/>
      <c r="I46" s="596"/>
      <c r="J46" s="649">
        <v>36</v>
      </c>
      <c r="M46" s="594"/>
    </row>
    <row r="47" spans="1:255" ht="13">
      <c r="A47" s="577"/>
      <c r="B47" s="1365" t="s">
        <v>741</v>
      </c>
      <c r="D47" s="597" t="s">
        <v>785</v>
      </c>
      <c r="E47" s="597"/>
      <c r="F47" s="597"/>
      <c r="G47" s="597"/>
      <c r="H47" s="597"/>
      <c r="I47" s="597"/>
      <c r="J47" s="649">
        <v>37</v>
      </c>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c r="BA47" s="577"/>
      <c r="BB47" s="577"/>
      <c r="BC47" s="577"/>
      <c r="BD47" s="577"/>
      <c r="BE47" s="577"/>
      <c r="BF47" s="577"/>
      <c r="BG47" s="577"/>
      <c r="BH47" s="577"/>
      <c r="BI47" s="577"/>
      <c r="BJ47" s="577"/>
      <c r="BK47" s="577"/>
      <c r="BL47" s="577"/>
      <c r="BM47" s="577"/>
      <c r="BN47" s="577"/>
      <c r="BO47" s="577"/>
      <c r="BP47" s="577"/>
      <c r="BQ47" s="577"/>
      <c r="BR47" s="577"/>
      <c r="BS47" s="577"/>
      <c r="BT47" s="577"/>
      <c r="BU47" s="577"/>
      <c r="BV47" s="577"/>
      <c r="BW47" s="577"/>
      <c r="BX47" s="577"/>
      <c r="BY47" s="577"/>
      <c r="BZ47" s="577"/>
      <c r="CA47" s="577"/>
      <c r="CB47" s="577"/>
      <c r="CC47" s="577"/>
      <c r="CD47" s="577"/>
      <c r="CE47" s="577"/>
      <c r="CF47" s="577"/>
      <c r="CG47" s="577"/>
      <c r="CH47" s="577"/>
      <c r="CI47" s="577"/>
      <c r="CJ47" s="577"/>
      <c r="CK47" s="577"/>
      <c r="CL47" s="577"/>
      <c r="CM47" s="577"/>
      <c r="CN47" s="577"/>
      <c r="CO47" s="577"/>
      <c r="CP47" s="577"/>
      <c r="CQ47" s="577"/>
      <c r="CR47" s="577"/>
      <c r="CS47" s="577"/>
      <c r="CT47" s="577"/>
      <c r="CU47" s="577"/>
      <c r="CV47" s="577"/>
      <c r="CW47" s="577"/>
      <c r="CX47" s="577"/>
      <c r="CY47" s="577"/>
      <c r="CZ47" s="577"/>
      <c r="DA47" s="577"/>
      <c r="DB47" s="577"/>
      <c r="DC47" s="577"/>
      <c r="DD47" s="577"/>
      <c r="DE47" s="577"/>
      <c r="DF47" s="577"/>
      <c r="DG47" s="577"/>
      <c r="DH47" s="577"/>
      <c r="DI47" s="577"/>
      <c r="DJ47" s="577"/>
      <c r="DK47" s="577"/>
      <c r="DL47" s="577"/>
      <c r="DM47" s="577"/>
      <c r="DN47" s="577"/>
      <c r="DO47" s="577"/>
      <c r="DP47" s="577"/>
      <c r="DQ47" s="577"/>
      <c r="DR47" s="577"/>
      <c r="DS47" s="577"/>
      <c r="DT47" s="577"/>
      <c r="DU47" s="577"/>
      <c r="DV47" s="577"/>
      <c r="DW47" s="577"/>
      <c r="DX47" s="577"/>
      <c r="DY47" s="577"/>
      <c r="DZ47" s="577"/>
      <c r="EA47" s="577"/>
      <c r="EB47" s="577"/>
      <c r="EC47" s="577"/>
      <c r="ED47" s="577"/>
      <c r="EE47" s="577"/>
      <c r="EF47" s="577"/>
      <c r="EG47" s="577"/>
      <c r="EH47" s="577"/>
      <c r="EI47" s="577"/>
      <c r="EJ47" s="577"/>
      <c r="EK47" s="577"/>
      <c r="EL47" s="577"/>
      <c r="EM47" s="577"/>
      <c r="EN47" s="577"/>
      <c r="EO47" s="577"/>
      <c r="EP47" s="577"/>
      <c r="EQ47" s="577"/>
      <c r="ER47" s="577"/>
      <c r="ES47" s="577"/>
      <c r="ET47" s="577"/>
      <c r="EU47" s="577"/>
      <c r="EV47" s="577"/>
      <c r="EW47" s="577"/>
      <c r="EX47" s="577"/>
      <c r="EY47" s="577"/>
      <c r="EZ47" s="577"/>
      <c r="FA47" s="577"/>
      <c r="FB47" s="577"/>
      <c r="FC47" s="577"/>
      <c r="FD47" s="577"/>
      <c r="FE47" s="577"/>
      <c r="FF47" s="577"/>
      <c r="FG47" s="577"/>
      <c r="FH47" s="577"/>
      <c r="FI47" s="577"/>
      <c r="FJ47" s="577"/>
      <c r="FK47" s="577"/>
      <c r="FL47" s="577"/>
      <c r="FM47" s="577"/>
      <c r="FN47" s="577"/>
      <c r="FO47" s="577"/>
      <c r="FP47" s="577"/>
      <c r="FQ47" s="577"/>
      <c r="FR47" s="577"/>
      <c r="FS47" s="577"/>
      <c r="FT47" s="577"/>
      <c r="FU47" s="577"/>
      <c r="FV47" s="577"/>
      <c r="FW47" s="577"/>
      <c r="FX47" s="577"/>
      <c r="FY47" s="577"/>
      <c r="FZ47" s="577"/>
      <c r="GA47" s="577"/>
      <c r="GB47" s="577"/>
      <c r="GC47" s="577"/>
      <c r="GD47" s="577"/>
      <c r="GE47" s="577"/>
      <c r="GF47" s="577"/>
      <c r="GG47" s="577"/>
      <c r="GH47" s="577"/>
      <c r="GI47" s="577"/>
      <c r="GJ47" s="577"/>
      <c r="GK47" s="577"/>
      <c r="GL47" s="577"/>
      <c r="GM47" s="577"/>
      <c r="GN47" s="577"/>
      <c r="GO47" s="577"/>
      <c r="GP47" s="577"/>
      <c r="GQ47" s="577"/>
      <c r="GR47" s="577"/>
      <c r="GS47" s="577"/>
      <c r="GT47" s="577"/>
      <c r="GU47" s="577"/>
      <c r="GV47" s="577"/>
      <c r="GW47" s="577"/>
      <c r="GX47" s="577"/>
      <c r="GY47" s="577"/>
      <c r="GZ47" s="577"/>
      <c r="HA47" s="577"/>
      <c r="HB47" s="577"/>
      <c r="HC47" s="577"/>
      <c r="HD47" s="577"/>
      <c r="HE47" s="577"/>
      <c r="HF47" s="577"/>
      <c r="HG47" s="577"/>
      <c r="HH47" s="577"/>
      <c r="HI47" s="577"/>
      <c r="HJ47" s="577"/>
      <c r="HK47" s="577"/>
      <c r="HL47" s="577"/>
      <c r="HM47" s="577"/>
      <c r="HN47" s="577"/>
      <c r="HO47" s="577"/>
      <c r="HP47" s="577"/>
      <c r="HQ47" s="577"/>
      <c r="HR47" s="577"/>
      <c r="HS47" s="577"/>
      <c r="HT47" s="577"/>
      <c r="HU47" s="577"/>
      <c r="HV47" s="577"/>
      <c r="HW47" s="577"/>
      <c r="HX47" s="577"/>
      <c r="HY47" s="577"/>
      <c r="HZ47" s="577"/>
      <c r="IA47" s="577"/>
      <c r="IB47" s="577"/>
      <c r="IC47" s="577"/>
      <c r="ID47" s="577"/>
      <c r="IE47" s="577"/>
      <c r="IF47" s="577"/>
      <c r="IG47" s="577"/>
      <c r="IH47" s="577"/>
      <c r="II47" s="577"/>
      <c r="IJ47" s="577"/>
      <c r="IK47" s="577"/>
      <c r="IL47" s="577"/>
      <c r="IM47" s="577"/>
      <c r="IN47" s="577"/>
      <c r="IO47" s="577"/>
      <c r="IP47" s="577"/>
      <c r="IQ47" s="577"/>
      <c r="IR47" s="577"/>
      <c r="IS47" s="577"/>
      <c r="IT47" s="577"/>
      <c r="IU47" s="577"/>
    </row>
    <row r="48" spans="1:255" ht="13">
      <c r="A48" s="577"/>
      <c r="B48" s="1366"/>
      <c r="D48" s="599"/>
      <c r="E48" s="599"/>
      <c r="F48" s="599"/>
      <c r="G48" s="599"/>
      <c r="H48" s="599"/>
      <c r="I48" s="599"/>
      <c r="J48" s="649"/>
      <c r="M48" s="594"/>
    </row>
    <row r="49" spans="1:13" ht="13">
      <c r="A49" s="577" t="s">
        <v>742</v>
      </c>
      <c r="B49" s="1366"/>
      <c r="D49" s="599"/>
      <c r="E49" s="599"/>
      <c r="F49" s="599"/>
      <c r="G49" s="599"/>
      <c r="H49" s="599"/>
      <c r="I49" s="599"/>
      <c r="J49" s="649"/>
      <c r="M49" s="594"/>
    </row>
    <row r="50" spans="1:13" ht="13">
      <c r="A50" s="577"/>
      <c r="B50" s="1367"/>
      <c r="C50" s="577"/>
      <c r="D50" s="600"/>
      <c r="E50" s="600"/>
      <c r="F50" s="600"/>
      <c r="G50" s="600"/>
      <c r="H50" s="600"/>
      <c r="I50" s="600"/>
      <c r="J50" s="650"/>
      <c r="M50" s="594"/>
    </row>
    <row r="51" spans="1:13" ht="13">
      <c r="A51" s="577"/>
      <c r="B51" s="1365" t="s">
        <v>743</v>
      </c>
      <c r="D51" s="599" t="s">
        <v>788</v>
      </c>
      <c r="E51" s="599"/>
      <c r="F51" s="599"/>
      <c r="G51" s="599"/>
      <c r="H51" s="599"/>
      <c r="I51" s="599"/>
      <c r="J51" s="649">
        <v>38</v>
      </c>
      <c r="M51" s="594"/>
    </row>
    <row r="52" spans="1:13" ht="13">
      <c r="A52" s="577"/>
      <c r="B52" s="1365" t="s">
        <v>744</v>
      </c>
      <c r="D52" s="596" t="s">
        <v>789</v>
      </c>
      <c r="E52" s="596"/>
      <c r="F52" s="596"/>
      <c r="G52" s="596"/>
      <c r="H52" s="596"/>
      <c r="I52" s="596"/>
      <c r="J52" s="649">
        <v>41</v>
      </c>
      <c r="M52" s="594"/>
    </row>
    <row r="53" spans="1:13" ht="13">
      <c r="A53" s="577"/>
      <c r="B53" s="1365" t="s">
        <v>745</v>
      </c>
      <c r="D53" s="596" t="s">
        <v>790</v>
      </c>
      <c r="E53" s="596"/>
      <c r="F53" s="596"/>
      <c r="G53" s="596"/>
      <c r="H53" s="596"/>
      <c r="I53" s="596"/>
      <c r="J53" s="649">
        <v>42</v>
      </c>
      <c r="M53" s="594"/>
    </row>
    <row r="54" spans="1:13" ht="13">
      <c r="A54" s="577"/>
      <c r="B54" s="1365" t="s">
        <v>746</v>
      </c>
      <c r="D54" s="596" t="s">
        <v>793</v>
      </c>
      <c r="E54" s="596"/>
      <c r="F54" s="596"/>
      <c r="G54" s="596"/>
      <c r="H54" s="596"/>
      <c r="I54" s="596"/>
      <c r="J54" s="649">
        <v>43</v>
      </c>
      <c r="M54" s="594"/>
    </row>
    <row r="55" spans="1:13" ht="13">
      <c r="A55" s="577"/>
      <c r="B55" s="1365" t="s">
        <v>747</v>
      </c>
      <c r="D55" s="596" t="s">
        <v>791</v>
      </c>
      <c r="E55" s="596"/>
      <c r="F55" s="596"/>
      <c r="G55" s="596"/>
      <c r="H55" s="596"/>
      <c r="I55" s="596"/>
      <c r="J55" s="649">
        <v>44</v>
      </c>
      <c r="K55" s="601"/>
      <c r="M55" s="594"/>
    </row>
    <row r="56" spans="1:13" ht="13">
      <c r="A56" s="577"/>
      <c r="B56" s="1370" t="s">
        <v>748</v>
      </c>
      <c r="D56" s="596" t="s">
        <v>792</v>
      </c>
      <c r="E56" s="596"/>
      <c r="F56" s="596"/>
      <c r="G56" s="596"/>
      <c r="H56" s="596"/>
      <c r="I56" s="596"/>
      <c r="J56" s="649">
        <v>45</v>
      </c>
      <c r="K56" s="587"/>
    </row>
    <row r="57" spans="1:13" ht="13">
      <c r="A57" s="577"/>
      <c r="B57" s="1365" t="s">
        <v>749</v>
      </c>
      <c r="D57" s="597" t="s">
        <v>750</v>
      </c>
      <c r="E57" s="597"/>
      <c r="F57" s="597"/>
      <c r="G57" s="597"/>
      <c r="H57" s="597"/>
      <c r="I57" s="597"/>
      <c r="J57" s="649">
        <v>46</v>
      </c>
      <c r="K57" s="587"/>
    </row>
    <row r="58" spans="1:13" ht="13">
      <c r="A58" s="577"/>
      <c r="B58" s="1368" t="s">
        <v>770</v>
      </c>
      <c r="D58" s="589" t="s">
        <v>751</v>
      </c>
      <c r="E58" s="589"/>
      <c r="F58" s="589"/>
      <c r="G58" s="589"/>
      <c r="H58" s="589"/>
      <c r="I58" s="589"/>
      <c r="J58" s="649">
        <v>47</v>
      </c>
      <c r="K58" s="587"/>
      <c r="M58" s="594"/>
    </row>
    <row r="59" spans="1:13" ht="13">
      <c r="A59" s="577"/>
      <c r="B59" s="1369" t="s">
        <v>771</v>
      </c>
      <c r="D59" s="592" t="s">
        <v>752</v>
      </c>
      <c r="E59" s="592"/>
      <c r="F59" s="592"/>
      <c r="G59" s="592"/>
      <c r="H59" s="592"/>
      <c r="I59" s="592"/>
      <c r="J59" s="649">
        <v>48</v>
      </c>
      <c r="K59" s="587"/>
      <c r="M59" s="594"/>
    </row>
    <row r="60" spans="1:13" ht="13">
      <c r="A60" s="577"/>
      <c r="B60" s="1369" t="s">
        <v>772</v>
      </c>
      <c r="D60" s="602" t="s">
        <v>753</v>
      </c>
      <c r="E60" s="592"/>
      <c r="F60" s="602"/>
      <c r="G60" s="592"/>
      <c r="H60" s="592"/>
      <c r="I60" s="592"/>
      <c r="J60" s="649">
        <v>49</v>
      </c>
      <c r="K60" s="587"/>
      <c r="M60" s="594"/>
    </row>
    <row r="61" spans="1:13" ht="13">
      <c r="A61" s="577"/>
      <c r="B61" s="1369" t="s">
        <v>773</v>
      </c>
      <c r="D61" s="592" t="s">
        <v>754</v>
      </c>
      <c r="E61" s="592"/>
      <c r="F61" s="592"/>
      <c r="G61" s="592"/>
      <c r="H61" s="592"/>
      <c r="I61" s="592"/>
      <c r="J61" s="649">
        <v>50</v>
      </c>
      <c r="K61" s="599"/>
      <c r="M61" s="594"/>
    </row>
    <row r="62" spans="1:13" ht="13">
      <c r="A62" s="577"/>
      <c r="B62" s="1626" t="s">
        <v>774</v>
      </c>
      <c r="D62" s="592" t="s">
        <v>1201</v>
      </c>
      <c r="E62" s="592"/>
      <c r="F62" s="592"/>
      <c r="G62" s="592"/>
      <c r="H62" s="593"/>
      <c r="I62" s="592"/>
      <c r="J62" s="649">
        <v>51</v>
      </c>
      <c r="K62" s="599"/>
      <c r="M62" s="594"/>
    </row>
    <row r="63" spans="1:13" ht="13">
      <c r="A63" s="577"/>
      <c r="B63" s="1626" t="s">
        <v>775</v>
      </c>
      <c r="D63" s="592" t="s">
        <v>755</v>
      </c>
      <c r="E63" s="592"/>
      <c r="F63" s="592"/>
      <c r="G63" s="592"/>
      <c r="H63" s="593"/>
      <c r="I63" s="592"/>
      <c r="J63" s="649">
        <v>52</v>
      </c>
      <c r="K63" s="599"/>
      <c r="M63" s="594"/>
    </row>
    <row r="64" spans="1:13" ht="13">
      <c r="A64" s="577"/>
      <c r="B64" s="1370" t="s">
        <v>776</v>
      </c>
      <c r="D64" s="592" t="s">
        <v>1142</v>
      </c>
      <c r="E64" s="592"/>
      <c r="F64" s="592"/>
      <c r="G64" s="592"/>
      <c r="H64" s="593"/>
      <c r="I64" s="592"/>
      <c r="J64" s="649">
        <v>56</v>
      </c>
      <c r="K64" s="599"/>
      <c r="M64" s="594"/>
    </row>
    <row r="65" spans="1:13" ht="13.4" customHeight="1">
      <c r="A65" s="577"/>
      <c r="B65" s="1370" t="s">
        <v>1336</v>
      </c>
      <c r="D65" s="592" t="s">
        <v>1366</v>
      </c>
      <c r="E65" s="592"/>
      <c r="F65" s="592"/>
      <c r="G65" s="592"/>
      <c r="H65" s="593"/>
      <c r="I65" s="592"/>
      <c r="J65" s="649">
        <v>57</v>
      </c>
      <c r="K65" s="599"/>
      <c r="M65" s="594"/>
    </row>
    <row r="66" spans="1:13" ht="13.4" customHeight="1">
      <c r="A66" s="577"/>
      <c r="B66" s="1370" t="s">
        <v>1337</v>
      </c>
      <c r="D66" s="592" t="s">
        <v>1367</v>
      </c>
      <c r="E66" s="592"/>
      <c r="F66" s="592"/>
      <c r="G66" s="592"/>
      <c r="H66" s="593"/>
      <c r="I66" s="592"/>
      <c r="J66" s="649">
        <v>58</v>
      </c>
      <c r="K66" s="599"/>
      <c r="M66" s="594"/>
    </row>
    <row r="67" spans="1:13" ht="13.4" customHeight="1">
      <c r="A67" s="577"/>
      <c r="B67" s="603"/>
      <c r="D67" s="604"/>
      <c r="E67" s="604"/>
      <c r="F67" s="604"/>
      <c r="G67" s="604"/>
      <c r="H67" s="604"/>
      <c r="I67" s="604"/>
      <c r="J67" s="591"/>
      <c r="K67" s="599"/>
      <c r="M67" s="594"/>
    </row>
    <row r="68" spans="1:13" ht="13.4" customHeight="1">
      <c r="A68" s="577"/>
      <c r="B68" s="603"/>
      <c r="D68" s="604"/>
      <c r="E68" s="604"/>
      <c r="F68" s="604"/>
      <c r="G68" s="604"/>
      <c r="H68" s="604"/>
      <c r="I68" s="604"/>
      <c r="J68" s="591"/>
      <c r="K68" s="599"/>
      <c r="M68" s="594"/>
    </row>
    <row r="69" spans="1:13" ht="13.4" customHeight="1">
      <c r="A69" s="577"/>
      <c r="B69" s="603"/>
      <c r="D69" s="604"/>
      <c r="E69" s="604"/>
      <c r="F69" s="604"/>
      <c r="G69" s="604"/>
      <c r="H69" s="604"/>
      <c r="I69" s="604"/>
      <c r="J69" s="591"/>
      <c r="K69" s="599"/>
      <c r="M69" s="594"/>
    </row>
    <row r="70" spans="1:13" ht="13.4" customHeight="1">
      <c r="A70" s="577"/>
      <c r="B70" s="603"/>
      <c r="D70" s="604"/>
      <c r="E70" s="604"/>
      <c r="F70" s="604"/>
      <c r="G70" s="604"/>
      <c r="H70" s="604"/>
      <c r="I70" s="604"/>
      <c r="J70" s="591"/>
      <c r="K70" s="599"/>
      <c r="M70" s="594"/>
    </row>
    <row r="71" spans="1:13" ht="13.4" customHeight="1">
      <c r="A71" s="577"/>
      <c r="B71" s="603"/>
      <c r="D71" s="604"/>
      <c r="E71" s="604"/>
      <c r="F71" s="604"/>
      <c r="G71" s="604"/>
      <c r="H71" s="604"/>
      <c r="I71" s="604"/>
      <c r="J71" s="591"/>
      <c r="K71" s="599"/>
      <c r="M71" s="594"/>
    </row>
    <row r="72" spans="1:13" ht="13.4" customHeight="1">
      <c r="A72" s="577"/>
      <c r="B72" s="603"/>
      <c r="D72" s="604"/>
      <c r="E72" s="604"/>
      <c r="F72" s="604"/>
      <c r="G72" s="604"/>
      <c r="H72" s="604"/>
      <c r="I72" s="604"/>
      <c r="J72" s="591"/>
      <c r="K72" s="599"/>
      <c r="M72" s="594"/>
    </row>
    <row r="73" spans="1:13" ht="13.4" customHeight="1">
      <c r="A73" s="577"/>
      <c r="B73" s="603"/>
      <c r="D73" s="604"/>
      <c r="E73" s="604"/>
      <c r="F73" s="604"/>
      <c r="G73" s="604"/>
      <c r="H73" s="604"/>
      <c r="I73" s="604"/>
      <c r="J73" s="591"/>
      <c r="K73" s="599"/>
      <c r="M73" s="594"/>
    </row>
    <row r="74" spans="1:13" ht="13.4" customHeight="1">
      <c r="A74" s="577"/>
      <c r="B74" s="603"/>
      <c r="D74" s="604"/>
      <c r="E74" s="604"/>
      <c r="F74" s="604"/>
      <c r="G74" s="604"/>
      <c r="H74" s="604"/>
      <c r="I74" s="604"/>
      <c r="J74" s="591"/>
      <c r="K74" s="599"/>
      <c r="M74" s="594"/>
    </row>
    <row r="75" spans="1:13" ht="13.4" customHeight="1">
      <c r="A75" s="577"/>
      <c r="B75" s="603"/>
      <c r="D75" s="604"/>
      <c r="E75" s="604"/>
      <c r="F75" s="604"/>
      <c r="G75" s="604"/>
      <c r="H75" s="604"/>
      <c r="I75" s="604"/>
      <c r="J75" s="591"/>
      <c r="K75" s="599"/>
      <c r="M75" s="594"/>
    </row>
    <row r="76" spans="1:13" ht="13.4" customHeight="1">
      <c r="A76" s="577"/>
      <c r="B76" s="603"/>
      <c r="D76" s="604"/>
      <c r="E76" s="604"/>
      <c r="F76" s="604"/>
      <c r="G76" s="604"/>
      <c r="H76" s="604"/>
      <c r="I76" s="604"/>
      <c r="J76" s="591"/>
      <c r="K76" s="599"/>
      <c r="M76" s="594"/>
    </row>
    <row r="77" spans="1:13" ht="13.4" customHeight="1">
      <c r="A77" s="577"/>
      <c r="B77" s="603"/>
      <c r="D77" s="604"/>
      <c r="E77" s="604"/>
      <c r="F77" s="604"/>
      <c r="G77" s="604"/>
      <c r="H77" s="604"/>
      <c r="I77" s="604"/>
      <c r="J77" s="591"/>
      <c r="K77" s="599"/>
      <c r="M77" s="594"/>
    </row>
    <row r="78" spans="1:13" ht="13.4" customHeight="1">
      <c r="A78" s="577"/>
      <c r="B78" s="603"/>
      <c r="D78" s="604"/>
      <c r="E78" s="604"/>
      <c r="F78" s="604"/>
      <c r="G78" s="604"/>
      <c r="H78" s="604"/>
      <c r="I78" s="604"/>
      <c r="J78" s="591"/>
      <c r="K78" s="599"/>
      <c r="M78" s="594"/>
    </row>
    <row r="79" spans="1:13" ht="13.4" customHeight="1">
      <c r="A79" s="577"/>
      <c r="B79" s="603"/>
      <c r="D79" s="604"/>
      <c r="E79" s="604"/>
      <c r="F79" s="604"/>
      <c r="G79" s="604"/>
      <c r="H79" s="604"/>
      <c r="I79" s="604"/>
      <c r="J79" s="591"/>
      <c r="K79" s="599"/>
      <c r="M79" s="594"/>
    </row>
    <row r="80" spans="1:13" ht="13.4" customHeight="1">
      <c r="A80" s="577"/>
      <c r="B80" s="603"/>
      <c r="D80" s="604"/>
      <c r="E80" s="604"/>
      <c r="F80" s="604"/>
      <c r="G80" s="604"/>
      <c r="H80" s="604"/>
      <c r="I80" s="604"/>
      <c r="J80" s="591"/>
      <c r="K80" s="599"/>
      <c r="M80" s="594"/>
    </row>
    <row r="81" spans="1:13" ht="13.4" customHeight="1">
      <c r="A81" s="577"/>
      <c r="B81" s="603"/>
      <c r="D81" s="604"/>
      <c r="E81" s="604"/>
      <c r="F81" s="604"/>
      <c r="G81" s="604"/>
      <c r="H81" s="604"/>
      <c r="I81" s="604"/>
      <c r="J81" s="591"/>
      <c r="K81" s="599"/>
      <c r="M81" s="594"/>
    </row>
    <row r="82" spans="1:13" ht="13.4" customHeight="1">
      <c r="A82" s="577"/>
      <c r="B82" s="603"/>
      <c r="D82" s="604"/>
      <c r="E82" s="604"/>
      <c r="F82" s="604"/>
      <c r="G82" s="604"/>
      <c r="H82" s="604"/>
      <c r="I82" s="604"/>
      <c r="J82" s="591"/>
      <c r="K82" s="599"/>
      <c r="M82" s="594"/>
    </row>
    <row r="83" spans="1:13" ht="13.4" customHeight="1">
      <c r="A83" s="577"/>
      <c r="B83" s="603"/>
      <c r="D83" s="604"/>
      <c r="E83" s="604"/>
      <c r="F83" s="604"/>
      <c r="G83" s="604"/>
      <c r="H83" s="604"/>
      <c r="I83" s="604"/>
      <c r="J83" s="591"/>
      <c r="K83" s="599"/>
      <c r="M83" s="594"/>
    </row>
    <row r="84" spans="1:13" ht="13.4" customHeight="1">
      <c r="A84" s="577"/>
      <c r="B84" s="603"/>
      <c r="D84" s="604"/>
      <c r="E84" s="604"/>
      <c r="F84" s="604"/>
      <c r="G84" s="604"/>
      <c r="H84" s="604"/>
      <c r="I84" s="604"/>
      <c r="J84" s="591"/>
      <c r="K84" s="599"/>
      <c r="M84" s="594"/>
    </row>
    <row r="85" spans="1:13" ht="13.4" customHeight="1">
      <c r="A85" s="577"/>
      <c r="B85" s="603"/>
      <c r="D85" s="604"/>
      <c r="E85" s="604"/>
      <c r="F85" s="604"/>
      <c r="G85" s="604"/>
      <c r="H85" s="604"/>
      <c r="I85" s="604"/>
      <c r="J85" s="591"/>
      <c r="K85" s="599"/>
      <c r="M85" s="594"/>
    </row>
    <row r="86" spans="1:13" ht="13.4" customHeight="1">
      <c r="A86" s="577"/>
      <c r="B86" s="603"/>
      <c r="D86" s="604"/>
      <c r="E86" s="604"/>
      <c r="F86" s="604"/>
      <c r="G86" s="604"/>
      <c r="H86" s="604"/>
      <c r="I86" s="604"/>
      <c r="J86" s="591"/>
      <c r="K86" s="599"/>
      <c r="M86" s="594"/>
    </row>
    <row r="87" spans="1:13" ht="13.4" customHeight="1">
      <c r="A87" s="577"/>
      <c r="B87" s="603"/>
      <c r="D87" s="604"/>
      <c r="E87" s="604"/>
      <c r="F87" s="604"/>
      <c r="G87" s="604"/>
      <c r="H87" s="604"/>
      <c r="I87" s="604"/>
      <c r="J87" s="591"/>
      <c r="K87" s="599"/>
      <c r="M87" s="594"/>
    </row>
    <row r="88" spans="1:13" ht="13.4" customHeight="1">
      <c r="A88" s="577"/>
      <c r="B88" s="603"/>
      <c r="D88" s="604"/>
      <c r="E88" s="604"/>
      <c r="F88" s="604"/>
      <c r="G88" s="604"/>
      <c r="H88" s="604"/>
      <c r="I88" s="604"/>
      <c r="J88" s="591"/>
      <c r="K88" s="599"/>
      <c r="M88" s="594"/>
    </row>
    <row r="89" spans="1:13" ht="13.4" customHeight="1">
      <c r="A89" s="577"/>
      <c r="B89" s="603"/>
      <c r="D89" s="604"/>
      <c r="E89" s="604"/>
      <c r="F89" s="604"/>
      <c r="G89" s="604"/>
      <c r="H89" s="604"/>
      <c r="I89" s="604"/>
      <c r="J89" s="591"/>
      <c r="K89" s="599"/>
      <c r="M89" s="594"/>
    </row>
    <row r="90" spans="1:13" ht="13.4" customHeight="1">
      <c r="A90" s="577"/>
      <c r="B90" s="603"/>
      <c r="D90" s="604"/>
      <c r="E90" s="604"/>
      <c r="F90" s="604"/>
      <c r="G90" s="604"/>
      <c r="H90" s="604"/>
      <c r="I90" s="604"/>
      <c r="J90" s="591"/>
      <c r="K90" s="599"/>
      <c r="M90" s="594"/>
    </row>
    <row r="91" spans="1:13" ht="13.4" customHeight="1">
      <c r="A91" s="577"/>
      <c r="B91" s="603"/>
      <c r="D91" s="604"/>
      <c r="E91" s="604"/>
      <c r="F91" s="604"/>
      <c r="G91" s="604"/>
      <c r="H91" s="604"/>
      <c r="I91" s="604"/>
      <c r="J91" s="591"/>
      <c r="K91" s="599"/>
      <c r="M91" s="594"/>
    </row>
    <row r="92" spans="1:13" ht="13.4" customHeight="1">
      <c r="A92" s="577"/>
      <c r="B92" s="603"/>
      <c r="D92" s="604"/>
      <c r="E92" s="604"/>
      <c r="F92" s="604"/>
      <c r="G92" s="604"/>
      <c r="H92" s="604"/>
      <c r="I92" s="604"/>
      <c r="J92" s="591"/>
      <c r="M92" s="594"/>
    </row>
    <row r="93" spans="1:13" ht="13.4" customHeight="1">
      <c r="A93" s="577"/>
      <c r="B93" s="603"/>
      <c r="D93" s="604"/>
      <c r="E93" s="604"/>
      <c r="F93" s="604"/>
      <c r="G93" s="604"/>
      <c r="H93" s="604"/>
      <c r="I93" s="604"/>
      <c r="J93" s="591"/>
      <c r="M93" s="594"/>
    </row>
    <row r="94" spans="1:13" ht="13.4" customHeight="1">
      <c r="A94" s="577"/>
      <c r="B94" s="603"/>
      <c r="D94" s="604"/>
      <c r="E94" s="604"/>
      <c r="F94" s="604"/>
      <c r="G94" s="604"/>
      <c r="H94" s="604"/>
      <c r="I94" s="604"/>
      <c r="J94" s="591"/>
      <c r="M94" s="594"/>
    </row>
    <row r="95" spans="1:13" ht="13.4" customHeight="1">
      <c r="A95" s="577"/>
      <c r="B95" s="603"/>
      <c r="D95" s="604"/>
      <c r="E95" s="604"/>
      <c r="F95" s="604"/>
      <c r="G95" s="604"/>
      <c r="H95" s="604"/>
      <c r="I95" s="604"/>
      <c r="J95" s="591"/>
      <c r="M95" s="594"/>
    </row>
    <row r="96" spans="1:13" ht="13.4" customHeight="1">
      <c r="A96" s="577"/>
      <c r="B96" s="603"/>
      <c r="D96" s="604"/>
      <c r="E96" s="604"/>
      <c r="F96" s="604"/>
      <c r="G96" s="604"/>
      <c r="H96" s="604"/>
      <c r="I96" s="604"/>
      <c r="J96" s="591"/>
      <c r="M96" s="594"/>
    </row>
    <row r="97" spans="1:13" ht="13.4" customHeight="1">
      <c r="A97" s="577"/>
      <c r="B97" s="603"/>
      <c r="D97" s="604"/>
      <c r="E97" s="604"/>
      <c r="F97" s="604"/>
      <c r="G97" s="604"/>
      <c r="H97" s="604"/>
      <c r="I97" s="604"/>
      <c r="J97" s="591"/>
      <c r="M97" s="594"/>
    </row>
    <row r="98" spans="1:13" ht="13.4" customHeight="1">
      <c r="A98" s="577"/>
      <c r="B98" s="603"/>
      <c r="D98" s="604"/>
      <c r="E98" s="604"/>
      <c r="F98" s="604"/>
      <c r="G98" s="604"/>
      <c r="H98" s="604"/>
      <c r="I98" s="604"/>
      <c r="J98" s="591"/>
      <c r="M98" s="594"/>
    </row>
    <row r="99" spans="1:13" ht="13.4" customHeight="1">
      <c r="A99" s="577"/>
      <c r="B99" s="603"/>
      <c r="D99" s="604"/>
      <c r="E99" s="604"/>
      <c r="F99" s="604"/>
      <c r="G99" s="604"/>
      <c r="H99" s="604"/>
      <c r="I99" s="604"/>
      <c r="J99" s="591"/>
      <c r="M99" s="594"/>
    </row>
    <row r="100" spans="1:13" ht="13.4" customHeight="1">
      <c r="A100" s="577"/>
      <c r="B100" s="603"/>
      <c r="D100" s="604"/>
      <c r="E100" s="604"/>
      <c r="F100" s="604"/>
      <c r="G100" s="604"/>
      <c r="H100" s="604"/>
      <c r="I100" s="604"/>
      <c r="J100" s="591"/>
      <c r="M100" s="594"/>
    </row>
    <row r="101" spans="1:13">
      <c r="A101" s="599"/>
      <c r="B101" s="605"/>
      <c r="C101" s="599"/>
      <c r="D101" s="599"/>
      <c r="E101" s="599"/>
      <c r="F101" s="599"/>
      <c r="G101" s="599"/>
      <c r="H101" s="599"/>
      <c r="I101" s="599"/>
      <c r="J101" s="607"/>
    </row>
    <row r="102" spans="1:13">
      <c r="B102" s="603"/>
      <c r="J102" s="606"/>
    </row>
    <row r="103" spans="1:13">
      <c r="B103" s="603"/>
      <c r="J103" s="606"/>
    </row>
    <row r="104" spans="1:13">
      <c r="B104" s="603"/>
    </row>
    <row r="105" spans="1:13">
      <c r="B105" s="603"/>
    </row>
    <row r="106" spans="1:13">
      <c r="B106" s="603"/>
    </row>
    <row r="107" spans="1:13">
      <c r="B107" s="603"/>
    </row>
    <row r="108" spans="1:13">
      <c r="B108" s="603"/>
    </row>
    <row r="109" spans="1:13">
      <c r="B109" s="603"/>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  '!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765625" defaultRowHeight="15.5"/>
  <cols>
    <col min="1" max="1" width="50.07421875" style="925" customWidth="1"/>
    <col min="2" max="2" width="3.765625" style="618" customWidth="1"/>
    <col min="3" max="3" width="16.765625" style="618" customWidth="1"/>
    <col min="4" max="4" width="1.53515625" style="618" customWidth="1"/>
    <col min="5" max="5" width="16.4609375" style="425" customWidth="1"/>
    <col min="6" max="6" width="3.07421875" style="929" customWidth="1"/>
    <col min="7" max="7" width="14.07421875" style="929" customWidth="1"/>
    <col min="8" max="8" width="2.07421875" style="929" customWidth="1"/>
    <col min="9" max="9" width="14.07421875" style="929" customWidth="1"/>
    <col min="10" max="10" width="1.07421875" style="929" customWidth="1"/>
    <col min="11" max="11" width="14.07421875" style="929" customWidth="1"/>
    <col min="12" max="12" width="1.07421875" style="929" customWidth="1"/>
    <col min="13" max="13" width="16.07421875" style="929" customWidth="1"/>
    <col min="14" max="14" width="1.53515625" style="618" customWidth="1"/>
    <col min="15" max="15" width="12.53515625" style="618" customWidth="1"/>
    <col min="16" max="16" width="11.4609375" style="618" customWidth="1"/>
    <col min="17" max="17" width="1.765625" style="618" customWidth="1"/>
    <col min="18" max="18" width="11.765625" style="618" customWidth="1"/>
    <col min="19" max="19" width="2.07421875" style="618" customWidth="1"/>
    <col min="20" max="20" width="11.4609375" style="618" customWidth="1"/>
    <col min="21" max="21" width="0.53515625" style="618" customWidth="1"/>
    <col min="22" max="22" width="2.07421875" style="618" customWidth="1"/>
    <col min="23" max="23" width="10.53515625" style="618" customWidth="1"/>
    <col min="24" max="24" width="11.07421875" style="618" customWidth="1"/>
    <col min="25" max="25" width="2.07421875" style="618" customWidth="1"/>
    <col min="26" max="26" width="11.07421875" style="618" customWidth="1"/>
    <col min="27" max="27" width="2.07421875" style="618" customWidth="1"/>
    <col min="28" max="28" width="12.4609375" style="618" customWidth="1"/>
    <col min="29" max="33" width="8.765625" style="618"/>
    <col min="34" max="34" width="8.765625" style="929"/>
    <col min="35" max="16384" width="8.765625" style="925"/>
  </cols>
  <sheetData>
    <row r="1" spans="1:28">
      <c r="A1" s="640" t="s">
        <v>885</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16"/>
      <c r="N3" s="143"/>
      <c r="O3" s="816" t="s">
        <v>82</v>
      </c>
      <c r="P3" s="156"/>
      <c r="Q3" s="156"/>
      <c r="R3" s="156"/>
      <c r="S3" s="156"/>
      <c r="T3" s="156"/>
      <c r="U3" s="156"/>
      <c r="V3" s="156"/>
      <c r="W3" s="156"/>
      <c r="X3" s="156"/>
      <c r="Y3" s="156"/>
      <c r="Z3" s="156"/>
      <c r="AA3" s="156"/>
      <c r="AB3" s="192"/>
    </row>
    <row r="4" spans="1:28" ht="17.25" customHeight="1">
      <c r="A4" s="191" t="s">
        <v>81</v>
      </c>
      <c r="B4" s="156"/>
      <c r="C4" s="156"/>
      <c r="D4" s="156"/>
      <c r="E4" s="422"/>
      <c r="F4" s="143"/>
      <c r="G4" s="143"/>
      <c r="H4" s="143"/>
      <c r="I4" s="143"/>
      <c r="J4" s="143"/>
      <c r="K4" s="143"/>
      <c r="L4" s="143"/>
      <c r="M4" s="817"/>
      <c r="N4" s="143"/>
      <c r="O4" s="817"/>
      <c r="P4" s="156"/>
      <c r="Q4" s="156"/>
      <c r="R4" s="156"/>
      <c r="S4" s="156"/>
      <c r="T4" s="156"/>
      <c r="U4" s="156"/>
      <c r="V4" s="156"/>
      <c r="W4" s="156"/>
      <c r="X4" s="156"/>
      <c r="Y4" s="156"/>
      <c r="Z4" s="156"/>
      <c r="AA4" s="156"/>
      <c r="AB4" s="156"/>
    </row>
    <row r="5" spans="1:28" ht="17.25" customHeight="1">
      <c r="A5" s="3925" t="str">
        <f>'Exh D-Governmental  '!A5:E5</f>
        <v>FISCAL YEAR 2021-2022</v>
      </c>
      <c r="B5" s="3926"/>
      <c r="C5" s="3926"/>
      <c r="D5" s="3926"/>
      <c r="E5" s="3926"/>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66" t="str">
        <f>+'Exh D-Governmental  '!A6</f>
        <v xml:space="preserve">FOR ONE MONTH ENDED APRIL 30,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1281</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84"/>
      <c r="C11" s="1170"/>
      <c r="D11" s="1170"/>
      <c r="E11" s="1192"/>
      <c r="F11" s="1172"/>
      <c r="G11" s="1410" t="s">
        <v>1047</v>
      </c>
      <c r="H11" s="1629"/>
      <c r="I11" s="1410"/>
      <c r="J11" s="1629"/>
      <c r="K11" s="1629"/>
      <c r="L11" s="1172"/>
      <c r="M11" s="1172"/>
      <c r="N11" s="1175"/>
      <c r="O11" s="1169"/>
      <c r="P11" s="194"/>
      <c r="Q11" s="194"/>
      <c r="R11" s="194"/>
      <c r="S11" s="194"/>
      <c r="T11" s="194"/>
      <c r="U11" s="194"/>
      <c r="V11" s="151"/>
      <c r="W11" s="194"/>
      <c r="X11" s="195"/>
      <c r="Y11" s="194"/>
      <c r="Z11" s="194"/>
      <c r="AA11" s="194"/>
      <c r="AB11" s="194"/>
    </row>
    <row r="12" spans="1:28">
      <c r="A12" s="684"/>
      <c r="E12" s="426"/>
      <c r="F12" s="196"/>
      <c r="G12" s="197"/>
      <c r="H12" s="197"/>
      <c r="I12" s="197"/>
      <c r="J12" s="197"/>
      <c r="K12" s="197"/>
      <c r="L12" s="196"/>
      <c r="M12" s="196" t="s">
        <v>83</v>
      </c>
      <c r="N12" s="151"/>
      <c r="O12" s="196" t="s">
        <v>83</v>
      </c>
      <c r="P12" s="194"/>
      <c r="Q12" s="194"/>
      <c r="R12" s="194"/>
      <c r="S12" s="194"/>
      <c r="T12" s="194"/>
      <c r="U12" s="194"/>
      <c r="V12" s="151"/>
      <c r="W12" s="194"/>
      <c r="X12" s="195"/>
      <c r="Y12" s="194"/>
      <c r="Z12" s="194"/>
      <c r="AA12" s="194"/>
      <c r="AB12" s="194"/>
    </row>
    <row r="13" spans="1:28">
      <c r="A13" s="684"/>
      <c r="E13" s="426"/>
      <c r="F13" s="196"/>
      <c r="G13" s="197"/>
      <c r="H13" s="197"/>
      <c r="I13" s="197"/>
      <c r="J13" s="197"/>
      <c r="K13" s="197"/>
      <c r="L13" s="196"/>
      <c r="M13" s="199" t="s">
        <v>798</v>
      </c>
      <c r="N13" s="151"/>
      <c r="O13" s="199" t="s">
        <v>798</v>
      </c>
      <c r="P13" s="194"/>
      <c r="Q13" s="194"/>
      <c r="R13" s="194"/>
      <c r="S13" s="194"/>
      <c r="T13" s="194"/>
      <c r="U13" s="194"/>
      <c r="V13" s="151"/>
      <c r="W13" s="194"/>
      <c r="X13" s="195"/>
      <c r="Y13" s="194"/>
      <c r="Z13" s="194"/>
      <c r="AA13" s="194"/>
      <c r="AB13" s="194"/>
    </row>
    <row r="14" spans="1:28">
      <c r="A14" s="684"/>
      <c r="B14" s="151"/>
      <c r="C14" s="154" t="s">
        <v>994</v>
      </c>
      <c r="D14" s="151"/>
      <c r="E14" s="153" t="s">
        <v>995</v>
      </c>
      <c r="F14" s="198"/>
      <c r="G14" s="198"/>
      <c r="H14" s="198"/>
      <c r="I14" s="198"/>
      <c r="J14" s="198"/>
      <c r="K14" s="198"/>
      <c r="L14" s="198"/>
      <c r="M14" s="153" t="s">
        <v>84</v>
      </c>
      <c r="N14" s="151"/>
      <c r="O14" s="153" t="s">
        <v>84</v>
      </c>
      <c r="P14" s="151"/>
      <c r="Q14" s="151"/>
      <c r="R14" s="151"/>
      <c r="S14" s="151"/>
      <c r="T14" s="200"/>
      <c r="U14" s="201"/>
      <c r="V14" s="151"/>
      <c r="W14" s="151"/>
      <c r="X14" s="151"/>
      <c r="Y14" s="151"/>
      <c r="Z14" s="151"/>
      <c r="AA14" s="151"/>
      <c r="AB14" s="200"/>
    </row>
    <row r="15" spans="1:28">
      <c r="A15" s="684"/>
      <c r="B15" s="202"/>
      <c r="C15" s="153" t="s">
        <v>1031</v>
      </c>
      <c r="D15" s="202"/>
      <c r="E15" s="153" t="s">
        <v>1031</v>
      </c>
      <c r="F15" s="152"/>
      <c r="G15" s="152"/>
      <c r="H15" s="152"/>
      <c r="I15" s="152"/>
      <c r="J15" s="152"/>
      <c r="K15" s="152"/>
      <c r="L15" s="152"/>
      <c r="M15" s="153" t="s">
        <v>994</v>
      </c>
      <c r="N15" s="151"/>
      <c r="O15" s="153" t="s">
        <v>995</v>
      </c>
      <c r="P15" s="201"/>
      <c r="Q15" s="151"/>
      <c r="R15" s="151"/>
      <c r="S15" s="151"/>
      <c r="T15" s="200"/>
      <c r="U15" s="201"/>
      <c r="V15" s="151"/>
      <c r="W15" s="200"/>
      <c r="X15" s="201"/>
      <c r="Y15" s="151"/>
      <c r="Z15" s="151"/>
      <c r="AA15" s="151"/>
      <c r="AB15" s="200"/>
    </row>
    <row r="16" spans="1:28">
      <c r="A16" s="684"/>
      <c r="B16" s="201"/>
      <c r="C16" s="1174" t="s">
        <v>1032</v>
      </c>
      <c r="D16" s="201"/>
      <c r="E16" s="199" t="s">
        <v>1438</v>
      </c>
      <c r="F16" s="152"/>
      <c r="G16" s="154" t="s">
        <v>83</v>
      </c>
      <c r="H16" s="154"/>
      <c r="I16" s="1631" t="s">
        <v>1168</v>
      </c>
      <c r="J16" s="154"/>
      <c r="K16" s="1631" t="s">
        <v>724</v>
      </c>
      <c r="L16" s="152"/>
      <c r="M16" s="153" t="s">
        <v>85</v>
      </c>
      <c r="N16" s="151"/>
      <c r="O16" s="1174" t="s">
        <v>85</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13</v>
      </c>
      <c r="B18" s="918"/>
      <c r="C18" s="918"/>
      <c r="D18" s="918"/>
      <c r="E18" s="653"/>
      <c r="F18" s="653"/>
      <c r="G18" s="653"/>
      <c r="H18" s="653"/>
      <c r="I18" s="653"/>
      <c r="J18" s="653"/>
      <c r="K18" s="653"/>
      <c r="L18" s="653"/>
      <c r="M18" s="653"/>
      <c r="N18" s="918"/>
      <c r="O18" s="918"/>
      <c r="P18" s="918"/>
      <c r="Q18" s="918"/>
      <c r="R18" s="918"/>
      <c r="S18" s="918"/>
      <c r="T18" s="918"/>
      <c r="U18" s="918"/>
      <c r="V18" s="918"/>
      <c r="W18" s="918"/>
      <c r="X18" s="918"/>
      <c r="Y18" s="918"/>
      <c r="Z18" s="918"/>
      <c r="AA18" s="918"/>
      <c r="AB18" s="918"/>
    </row>
    <row r="19" spans="1:28">
      <c r="A19" s="814" t="s">
        <v>86</v>
      </c>
      <c r="B19" s="919"/>
      <c r="C19" s="919"/>
      <c r="D19" s="919"/>
      <c r="E19" s="653"/>
      <c r="F19" s="653"/>
      <c r="G19" s="653"/>
      <c r="H19" s="653"/>
      <c r="I19" s="653"/>
      <c r="J19" s="653"/>
      <c r="K19" s="653"/>
      <c r="L19" s="919"/>
      <c r="M19" s="653"/>
      <c r="N19" s="918"/>
      <c r="O19" s="1535"/>
      <c r="P19" s="918"/>
      <c r="Q19" s="918"/>
      <c r="R19" s="918"/>
      <c r="S19" s="918"/>
      <c r="T19" s="918"/>
      <c r="U19" s="918"/>
      <c r="V19" s="918"/>
      <c r="W19" s="918"/>
      <c r="X19" s="918"/>
      <c r="Y19" s="918"/>
      <c r="Z19" s="918"/>
      <c r="AA19" s="918"/>
      <c r="AB19" s="918"/>
    </row>
    <row r="20" spans="1:28">
      <c r="A20" s="814" t="s">
        <v>87</v>
      </c>
      <c r="B20" s="919"/>
      <c r="C20" s="1006">
        <f>'Exh D Special Revenue State Fed'!C20+'Exh D Special Revenue State Fed'!N20</f>
        <v>0</v>
      </c>
      <c r="D20" s="1928"/>
      <c r="E20" s="1006">
        <f>'Exh D Special Revenue State Fed'!E20+'Exh D Special Revenue State Fed'!P20</f>
        <v>0</v>
      </c>
      <c r="F20" s="656"/>
      <c r="G20" s="935">
        <f>+'Exh D Special Revenue State Fed'!G20</f>
        <v>0</v>
      </c>
      <c r="H20" s="935"/>
      <c r="I20" s="935">
        <v>0</v>
      </c>
      <c r="J20" s="935"/>
      <c r="K20" s="935">
        <f t="shared" ref="K20:K25" si="0">+G20+I20</f>
        <v>0</v>
      </c>
      <c r="L20" s="656"/>
      <c r="M20" s="654">
        <f>ROUND(SUM(K20)-SUM(C20),1)</f>
        <v>0</v>
      </c>
      <c r="N20" s="918"/>
      <c r="O20" s="654">
        <f>K20-E20</f>
        <v>0</v>
      </c>
      <c r="P20" s="918"/>
      <c r="Q20" s="918"/>
      <c r="R20" s="918"/>
      <c r="S20" s="918"/>
      <c r="T20" s="918"/>
      <c r="U20" s="918"/>
      <c r="V20" s="918"/>
      <c r="W20" s="918"/>
      <c r="X20" s="918"/>
      <c r="Y20" s="918"/>
      <c r="Z20" s="918"/>
      <c r="AA20" s="918"/>
      <c r="AB20" s="918"/>
    </row>
    <row r="21" spans="1:28">
      <c r="A21" s="814" t="s">
        <v>88</v>
      </c>
      <c r="B21" s="918"/>
      <c r="C21" s="679">
        <f>'Exh D Special Revenue State Fed'!C21+'Exh D Special Revenue State Fed'!N21</f>
        <v>0</v>
      </c>
      <c r="D21" s="1929"/>
      <c r="E21" s="679">
        <f>'Exh D Special Revenue State Fed'!E21+'Exh D Special Revenue State Fed'!P21</f>
        <v>0</v>
      </c>
      <c r="F21" s="639"/>
      <c r="G21" s="639">
        <f>+'Exh D Special Revenue State Fed'!G21</f>
        <v>187.7</v>
      </c>
      <c r="H21" s="1523"/>
      <c r="I21" s="1523">
        <v>0</v>
      </c>
      <c r="J21" s="1523"/>
      <c r="K21" s="1523">
        <f t="shared" si="0"/>
        <v>187.7</v>
      </c>
      <c r="L21" s="639"/>
      <c r="M21" s="1523">
        <v>0</v>
      </c>
      <c r="N21" s="937"/>
      <c r="O21" s="1523">
        <v>0</v>
      </c>
      <c r="P21" s="918"/>
      <c r="Q21" s="918"/>
      <c r="R21" s="918"/>
      <c r="S21" s="918"/>
      <c r="T21" s="918"/>
      <c r="U21" s="918"/>
      <c r="V21" s="918"/>
      <c r="W21" s="918"/>
      <c r="X21" s="918"/>
      <c r="Y21" s="918"/>
      <c r="Z21" s="918"/>
      <c r="AA21" s="918"/>
      <c r="AB21" s="918"/>
    </row>
    <row r="22" spans="1:28">
      <c r="A22" s="814" t="s">
        <v>89</v>
      </c>
      <c r="B22" s="919"/>
      <c r="C22" s="679">
        <f>'Exh D Special Revenue State Fed'!C22+'Exh D Special Revenue State Fed'!N22</f>
        <v>0</v>
      </c>
      <c r="D22" s="1928"/>
      <c r="E22" s="679">
        <f>'Exh D Special Revenue State Fed'!E22+'Exh D Special Revenue State Fed'!P22</f>
        <v>0</v>
      </c>
      <c r="F22" s="676"/>
      <c r="G22" s="639">
        <f>+'Exh D Special Revenue State Fed'!G22</f>
        <v>198.9</v>
      </c>
      <c r="H22" s="1523"/>
      <c r="I22" s="1523">
        <v>0</v>
      </c>
      <c r="J22" s="1523"/>
      <c r="K22" s="1523">
        <f t="shared" si="0"/>
        <v>198.9</v>
      </c>
      <c r="L22" s="676"/>
      <c r="M22" s="1523">
        <v>0</v>
      </c>
      <c r="N22" s="938"/>
      <c r="O22" s="1523">
        <v>0</v>
      </c>
      <c r="P22" s="918"/>
      <c r="Q22" s="939"/>
      <c r="R22" s="918"/>
      <c r="S22" s="939"/>
      <c r="T22" s="918"/>
      <c r="U22" s="918"/>
      <c r="V22" s="939"/>
      <c r="W22" s="918"/>
      <c r="X22" s="918"/>
      <c r="Y22" s="939"/>
      <c r="Z22" s="203"/>
      <c r="AA22" s="939"/>
      <c r="AB22" s="918"/>
    </row>
    <row r="23" spans="1:28" ht="15" customHeight="1">
      <c r="A23" s="814" t="s">
        <v>19</v>
      </c>
      <c r="B23" s="918"/>
      <c r="C23" s="679">
        <f>'Exh D Special Revenue State Fed'!C23+'Exh D Special Revenue State Fed'!N23</f>
        <v>0</v>
      </c>
      <c r="D23" s="1929"/>
      <c r="E23" s="679">
        <f>'Exh D Special Revenue State Fed'!E23+'Exh D Special Revenue State Fed'!P23</f>
        <v>0</v>
      </c>
      <c r="F23" s="639"/>
      <c r="G23" s="639">
        <f>+'Exh D Special Revenue State Fed'!G23+'Exh D Special Revenue State Fed'!R23</f>
        <v>1332.5</v>
      </c>
      <c r="H23" s="1523"/>
      <c r="I23" s="1523">
        <v>0</v>
      </c>
      <c r="J23" s="1523"/>
      <c r="K23" s="1523">
        <f t="shared" si="0"/>
        <v>1332.5</v>
      </c>
      <c r="L23" s="639"/>
      <c r="M23" s="1523">
        <v>0</v>
      </c>
      <c r="N23" s="937"/>
      <c r="O23" s="1523">
        <v>0</v>
      </c>
      <c r="P23" s="918"/>
      <c r="Q23" s="918"/>
      <c r="R23" s="918"/>
      <c r="S23" s="918"/>
      <c r="T23" s="918"/>
      <c r="U23" s="918"/>
      <c r="V23" s="918"/>
      <c r="W23" s="918"/>
      <c r="X23" s="918"/>
      <c r="Y23" s="918"/>
      <c r="Z23" s="918"/>
      <c r="AA23" s="918"/>
      <c r="AB23" s="918"/>
    </row>
    <row r="24" spans="1:28" ht="15" customHeight="1">
      <c r="A24" s="814" t="s">
        <v>20</v>
      </c>
      <c r="B24" s="918"/>
      <c r="C24" s="679">
        <f>'Exh D Special Revenue State Fed'!C24+'Exh D Special Revenue State Fed'!N24</f>
        <v>0</v>
      </c>
      <c r="D24" s="1929"/>
      <c r="E24" s="679">
        <f>'Exh D Special Revenue State Fed'!E24+'Exh D Special Revenue State Fed'!P24</f>
        <v>0</v>
      </c>
      <c r="F24" s="639"/>
      <c r="G24" s="639">
        <f>+'Exh D Special Revenue State Fed'!G24+'Exh D Special Revenue State Fed'!R24</f>
        <v>7158.4</v>
      </c>
      <c r="H24" s="1523"/>
      <c r="I24" s="1523">
        <v>0</v>
      </c>
      <c r="J24" s="1523"/>
      <c r="K24" s="1523">
        <f t="shared" si="0"/>
        <v>7158.4</v>
      </c>
      <c r="L24" s="639"/>
      <c r="M24" s="1523">
        <v>0</v>
      </c>
      <c r="N24" s="937"/>
      <c r="O24" s="1523">
        <v>0</v>
      </c>
      <c r="P24" s="941"/>
      <c r="Q24" s="918"/>
      <c r="R24" s="941"/>
      <c r="S24" s="918"/>
      <c r="T24" s="941"/>
      <c r="U24" s="942"/>
      <c r="V24" s="918"/>
      <c r="W24" s="918"/>
      <c r="X24" s="918"/>
      <c r="Y24" s="918"/>
      <c r="Z24" s="918"/>
      <c r="AA24" s="918"/>
      <c r="AB24" s="918"/>
    </row>
    <row r="25" spans="1:28">
      <c r="A25" s="814" t="s">
        <v>1090</v>
      </c>
      <c r="B25" s="941"/>
      <c r="C25" s="1707">
        <f>'Exh D Special Revenue State Fed'!C25+'Exh D Special Revenue State Fed'!N25</f>
        <v>0</v>
      </c>
      <c r="D25" s="1930"/>
      <c r="E25" s="1707">
        <f>'Exh D Special Revenue State Fed'!E25+'Exh D Special Revenue State Fed'!P25</f>
        <v>0</v>
      </c>
      <c r="F25" s="639"/>
      <c r="G25" s="922">
        <f>+'Exh D Special Revenue State Fed'!G25</f>
        <v>263.5</v>
      </c>
      <c r="H25" s="938"/>
      <c r="I25" s="1476">
        <f>+'Exhibit G'!AB113</f>
        <v>-31</v>
      </c>
      <c r="J25" s="938"/>
      <c r="K25" s="923">
        <f t="shared" si="0"/>
        <v>232.5</v>
      </c>
      <c r="L25" s="639"/>
      <c r="M25" s="1402">
        <v>0</v>
      </c>
      <c r="N25" s="937"/>
      <c r="O25" s="1402">
        <v>0</v>
      </c>
      <c r="P25" s="941"/>
      <c r="Q25" s="918"/>
      <c r="R25" s="941"/>
      <c r="S25" s="918"/>
      <c r="T25" s="941"/>
      <c r="U25" s="942"/>
      <c r="V25" s="918"/>
      <c r="W25" s="918"/>
      <c r="X25" s="918"/>
      <c r="Y25" s="918"/>
      <c r="Z25" s="918"/>
      <c r="AA25" s="918"/>
      <c r="AB25" s="918"/>
    </row>
    <row r="26" spans="1:28" ht="18" customHeight="1">
      <c r="A26" s="1115" t="s">
        <v>107</v>
      </c>
      <c r="B26" s="151"/>
      <c r="C26" s="823">
        <f>ROUND(SUM(C20:C25),1)</f>
        <v>0</v>
      </c>
      <c r="D26" s="151"/>
      <c r="E26" s="823">
        <f>ROUND(SUM(E20:E25),1)</f>
        <v>0</v>
      </c>
      <c r="F26" s="916"/>
      <c r="G26" s="823">
        <f>ROUND(SUM(G20:G25),1)</f>
        <v>9141</v>
      </c>
      <c r="H26" s="1524"/>
      <c r="I26" s="823">
        <f>ROUND(SUM(I20:I25),1)</f>
        <v>-31</v>
      </c>
      <c r="J26" s="1524"/>
      <c r="K26" s="823">
        <f>ROUND(SUM(K20:K25),1)</f>
        <v>9110</v>
      </c>
      <c r="L26" s="916"/>
      <c r="M26" s="823">
        <f>ROUND(SUM(M20:M25),1)</f>
        <v>0</v>
      </c>
      <c r="N26" s="76"/>
      <c r="O26" s="74">
        <f>ROUND(SUM(O20:O25),1)</f>
        <v>0</v>
      </c>
      <c r="P26" s="151"/>
      <c r="Q26" s="151"/>
      <c r="R26" s="151"/>
      <c r="S26" s="151"/>
      <c r="T26" s="151"/>
      <c r="U26" s="151"/>
      <c r="V26" s="151"/>
      <c r="W26" s="151"/>
      <c r="X26" s="151"/>
      <c r="Y26" s="151"/>
      <c r="Z26" s="151"/>
      <c r="AA26" s="151"/>
      <c r="AB26" s="151"/>
    </row>
    <row r="27" spans="1:28">
      <c r="A27" s="684"/>
      <c r="B27" s="918"/>
      <c r="C27" s="937"/>
      <c r="D27" s="918"/>
      <c r="E27" s="937"/>
      <c r="F27" s="639"/>
      <c r="G27" s="682"/>
      <c r="H27" s="937"/>
      <c r="I27" s="937"/>
      <c r="J27" s="937"/>
      <c r="K27" s="937"/>
      <c r="L27" s="639"/>
      <c r="M27" s="682"/>
      <c r="N27" s="937"/>
      <c r="O27" s="682"/>
      <c r="P27" s="918"/>
      <c r="Q27" s="918"/>
      <c r="R27" s="918"/>
      <c r="S27" s="918"/>
      <c r="T27" s="918"/>
      <c r="U27" s="918"/>
      <c r="V27" s="918"/>
      <c r="W27" s="918"/>
      <c r="X27" s="918"/>
      <c r="Y27" s="918"/>
      <c r="Z27" s="918"/>
      <c r="AA27" s="918"/>
      <c r="AB27" s="918"/>
    </row>
    <row r="28" spans="1:28">
      <c r="A28" s="29" t="s">
        <v>22</v>
      </c>
      <c r="B28" s="918"/>
      <c r="C28" s="937"/>
      <c r="D28" s="918"/>
      <c r="E28" s="937"/>
      <c r="F28" s="639"/>
      <c r="G28" s="639"/>
      <c r="H28" s="1523"/>
      <c r="I28" s="1523" t="s">
        <v>14</v>
      </c>
      <c r="J28" s="1523" t="s">
        <v>14</v>
      </c>
      <c r="K28" s="1523" t="s">
        <v>14</v>
      </c>
      <c r="L28" s="639"/>
      <c r="M28" s="639"/>
      <c r="N28" s="937"/>
      <c r="O28" s="1523"/>
      <c r="P28" s="918"/>
      <c r="Q28" s="918"/>
      <c r="R28" s="918"/>
      <c r="S28" s="918"/>
      <c r="T28" s="918"/>
      <c r="U28" s="918"/>
      <c r="V28" s="918"/>
      <c r="W28" s="918"/>
      <c r="X28" s="918"/>
      <c r="Y28" s="918"/>
      <c r="Z28" s="918"/>
      <c r="AA28" s="918"/>
      <c r="AB28" s="918"/>
    </row>
    <row r="29" spans="1:28">
      <c r="A29" s="814" t="s">
        <v>92</v>
      </c>
      <c r="B29" s="939"/>
      <c r="C29" s="679">
        <f>'Exh D Special Revenue State Fed'!C29+'Exh D Special Revenue State Fed'!N29</f>
        <v>0</v>
      </c>
      <c r="D29" s="1931"/>
      <c r="E29" s="679">
        <f>'Exh D Special Revenue State Fed'!E29+'Exh D Special Revenue State Fed'!P29</f>
        <v>0</v>
      </c>
      <c r="F29" s="639"/>
      <c r="G29" s="676">
        <f>+'Exh D Special Revenue State Fed'!G29+'Exh D Special Revenue State Fed'!R29</f>
        <v>5096.2000000000007</v>
      </c>
      <c r="H29" s="676"/>
      <c r="I29" s="676">
        <v>0</v>
      </c>
      <c r="J29" s="676"/>
      <c r="K29" s="1523">
        <f t="shared" ref="K29:K34" si="1">+G29+I29</f>
        <v>5096.2000000000007</v>
      </c>
      <c r="L29" s="639"/>
      <c r="M29" s="1523">
        <v>0</v>
      </c>
      <c r="N29" s="937"/>
      <c r="O29" s="1523">
        <v>0</v>
      </c>
      <c r="P29" s="941"/>
      <c r="Q29" s="918"/>
      <c r="R29" s="941"/>
      <c r="S29" s="918"/>
      <c r="T29" s="941"/>
      <c r="U29" s="942"/>
      <c r="V29" s="918"/>
      <c r="W29" s="918"/>
      <c r="X29" s="918"/>
      <c r="Y29" s="918"/>
      <c r="Z29" s="918"/>
      <c r="AA29" s="918"/>
      <c r="AB29" s="918"/>
    </row>
    <row r="30" spans="1:28">
      <c r="A30" s="814" t="s">
        <v>93</v>
      </c>
      <c r="B30" s="939"/>
      <c r="C30" s="679">
        <f>'Exh D Special Revenue State Fed'!C30+'Exh D Special Revenue State Fed'!N30</f>
        <v>0</v>
      </c>
      <c r="D30" s="1931"/>
      <c r="E30" s="679">
        <f>'Exh D Special Revenue State Fed'!E30+'Exh D Special Revenue State Fed'!P30</f>
        <v>0</v>
      </c>
      <c r="F30" s="639"/>
      <c r="G30" s="676">
        <f>+'Exh D Special Revenue State Fed'!G30+'Exh D Special Revenue State Fed'!R30</f>
        <v>833.1</v>
      </c>
      <c r="H30" s="676"/>
      <c r="I30" s="676">
        <v>0</v>
      </c>
      <c r="J30" s="676"/>
      <c r="K30" s="1523">
        <f t="shared" si="1"/>
        <v>833.1</v>
      </c>
      <c r="L30" s="639"/>
      <c r="M30" s="1523">
        <v>0</v>
      </c>
      <c r="N30" s="937"/>
      <c r="O30" s="1523">
        <v>0</v>
      </c>
      <c r="P30" s="939"/>
      <c r="Q30" s="918"/>
      <c r="R30" s="939"/>
      <c r="S30" s="918"/>
      <c r="T30" s="941"/>
      <c r="U30" s="918"/>
      <c r="V30" s="918"/>
      <c r="W30" s="941"/>
      <c r="X30" s="941"/>
      <c r="Y30" s="918"/>
      <c r="Z30" s="941"/>
      <c r="AA30" s="918"/>
      <c r="AB30" s="941"/>
    </row>
    <row r="31" spans="1:28">
      <c r="A31" s="814" t="s">
        <v>68</v>
      </c>
      <c r="B31" s="939"/>
      <c r="C31" s="679">
        <f>'Exh D Special Revenue State Fed'!C31+'Exh D Special Revenue State Fed'!N31</f>
        <v>0</v>
      </c>
      <c r="D31" s="1931"/>
      <c r="E31" s="679">
        <f>'Exh D Special Revenue State Fed'!E31+'Exh D Special Revenue State Fed'!P31</f>
        <v>0</v>
      </c>
      <c r="F31" s="639"/>
      <c r="G31" s="676">
        <f>+'Exh D Special Revenue State Fed'!G31+'Exh D Special Revenue State Fed'!R31</f>
        <v>85.199999999999989</v>
      </c>
      <c r="H31" s="676"/>
      <c r="I31" s="676">
        <v>0</v>
      </c>
      <c r="J31" s="676"/>
      <c r="K31" s="1523">
        <f t="shared" si="1"/>
        <v>85.199999999999989</v>
      </c>
      <c r="L31" s="639"/>
      <c r="M31" s="1523">
        <v>0</v>
      </c>
      <c r="N31" s="937"/>
      <c r="O31" s="1523">
        <v>0</v>
      </c>
      <c r="P31" s="941"/>
      <c r="Q31" s="918"/>
      <c r="R31" s="941"/>
      <c r="S31" s="918"/>
      <c r="T31" s="941"/>
      <c r="U31" s="942"/>
      <c r="V31" s="918"/>
      <c r="W31" s="941"/>
      <c r="X31" s="941"/>
      <c r="Y31" s="918"/>
      <c r="Z31" s="941"/>
      <c r="AA31" s="918"/>
      <c r="AB31" s="941"/>
    </row>
    <row r="32" spans="1:28">
      <c r="A32" s="814" t="s">
        <v>94</v>
      </c>
      <c r="B32" s="939"/>
      <c r="C32" s="679">
        <f>'Exh D Special Revenue State Fed'!C32+'Exh D Special Revenue State Fed'!N32</f>
        <v>0</v>
      </c>
      <c r="D32" s="1931"/>
      <c r="E32" s="679">
        <f>'Exh D Special Revenue State Fed'!E32+'Exh D Special Revenue State Fed'!P32</f>
        <v>0</v>
      </c>
      <c r="F32" s="1523"/>
      <c r="G32" s="676">
        <f>+'Exh D Special Revenue State Fed'!G32+'Exh D Special Revenue State Fed'!R32</f>
        <v>0</v>
      </c>
      <c r="H32" s="676"/>
      <c r="I32" s="676">
        <v>0</v>
      </c>
      <c r="J32" s="676"/>
      <c r="K32" s="1523">
        <f t="shared" si="1"/>
        <v>0</v>
      </c>
      <c r="L32" s="1523"/>
      <c r="M32" s="1523">
        <f>ROUND(SUM(K32)-SUM(C32),1)</f>
        <v>0</v>
      </c>
      <c r="N32" s="937"/>
      <c r="O32" s="1523">
        <f>K32-E32</f>
        <v>0</v>
      </c>
      <c r="P32" s="941"/>
      <c r="Q32" s="918"/>
      <c r="R32" s="941"/>
      <c r="S32" s="918"/>
      <c r="T32" s="941"/>
      <c r="U32" s="942"/>
      <c r="V32" s="918"/>
      <c r="W32" s="941"/>
      <c r="X32" s="941"/>
      <c r="Y32" s="918"/>
      <c r="Z32" s="941"/>
      <c r="AA32" s="918"/>
      <c r="AB32" s="941"/>
    </row>
    <row r="33" spans="1:28">
      <c r="A33" s="814" t="s">
        <v>41</v>
      </c>
      <c r="B33" s="939"/>
      <c r="C33" s="679">
        <f>'Exh D Special Revenue State Fed'!C33+'Exh D Special Revenue State Fed'!N33</f>
        <v>0</v>
      </c>
      <c r="D33" s="1931"/>
      <c r="E33" s="679">
        <f>'Exh D Special Revenue State Fed'!E33+'Exh D Special Revenue State Fed'!P33</f>
        <v>0</v>
      </c>
      <c r="F33" s="639"/>
      <c r="G33" s="680">
        <f>+'Exh D Special Revenue State Fed'!G33+'Exh D Special Revenue State Fed'!R33</f>
        <v>0</v>
      </c>
      <c r="H33" s="680"/>
      <c r="I33" s="680">
        <v>0</v>
      </c>
      <c r="J33" s="680"/>
      <c r="K33" s="1523">
        <f t="shared" si="1"/>
        <v>0</v>
      </c>
      <c r="L33" s="639"/>
      <c r="M33" s="1523">
        <f t="shared" ref="M33" si="2">ROUND(SUM(K33)-SUM(C33),1)</f>
        <v>0</v>
      </c>
      <c r="N33" s="937"/>
      <c r="O33" s="1523">
        <f t="shared" ref="O33" si="3">K33-E33</f>
        <v>0</v>
      </c>
      <c r="P33" s="941"/>
      <c r="Q33" s="918"/>
      <c r="R33" s="941"/>
      <c r="S33" s="918"/>
      <c r="T33" s="941"/>
      <c r="U33" s="942"/>
      <c r="V33" s="918"/>
      <c r="W33" s="918"/>
      <c r="X33" s="918"/>
      <c r="Y33" s="918"/>
      <c r="Z33" s="918"/>
      <c r="AA33" s="918"/>
      <c r="AB33" s="918"/>
    </row>
    <row r="34" spans="1:28">
      <c r="A34" s="814" t="s">
        <v>1091</v>
      </c>
      <c r="B34" s="939"/>
      <c r="C34" s="679">
        <f>'Exh D Special Revenue State Fed'!C34+'Exh D Special Revenue State Fed'!N34</f>
        <v>0</v>
      </c>
      <c r="D34" s="1931"/>
      <c r="E34" s="679">
        <f>'Exh D Special Revenue State Fed'!E34+'Exh D Special Revenue State Fed'!P34</f>
        <v>0</v>
      </c>
      <c r="F34" s="639"/>
      <c r="G34" s="676">
        <f>+'Exh D Special Revenue State Fed'!G34+'Exh D Special Revenue State Fed'!R34</f>
        <v>165.9</v>
      </c>
      <c r="H34" s="676"/>
      <c r="I34" s="678">
        <f>-'Exhibit G'!AB114</f>
        <v>-31</v>
      </c>
      <c r="J34" s="676"/>
      <c r="K34" s="1523">
        <f t="shared" si="1"/>
        <v>134.9</v>
      </c>
      <c r="L34" s="639"/>
      <c r="M34" s="1523">
        <v>0</v>
      </c>
      <c r="N34" s="937"/>
      <c r="O34" s="1523">
        <v>0</v>
      </c>
      <c r="P34" s="941"/>
      <c r="Q34" s="918"/>
      <c r="R34" s="941"/>
      <c r="S34" s="918"/>
      <c r="T34" s="941"/>
      <c r="U34" s="942"/>
      <c r="V34" s="918"/>
      <c r="W34" s="918"/>
      <c r="X34" s="918"/>
      <c r="Y34" s="918"/>
      <c r="Z34" s="918"/>
      <c r="AA34" s="918"/>
      <c r="AB34" s="918"/>
    </row>
    <row r="35" spans="1:28" ht="18" customHeight="1">
      <c r="A35" s="1533" t="s">
        <v>116</v>
      </c>
      <c r="B35" s="151"/>
      <c r="C35" s="1865">
        <f>ROUND(SUM(C29:C34),1)</f>
        <v>0</v>
      </c>
      <c r="D35" s="151"/>
      <c r="E35" s="1865">
        <f>ROUND(SUM(E29:E34),1)</f>
        <v>0</v>
      </c>
      <c r="F35" s="916"/>
      <c r="G35" s="215">
        <f>ROUND(SUM(G29:G34),1)</f>
        <v>6180.4</v>
      </c>
      <c r="H35" s="1524"/>
      <c r="I35" s="1534">
        <f>ROUND(SUM(I29:I34),1)</f>
        <v>-31</v>
      </c>
      <c r="J35" s="1524"/>
      <c r="K35" s="1534">
        <f>ROUND(SUM(K29:K34),1)</f>
        <v>6149.4</v>
      </c>
      <c r="L35" s="916"/>
      <c r="M35" s="215">
        <f>ROUND(SUM(M29:M34),1)</f>
        <v>0</v>
      </c>
      <c r="N35" s="76"/>
      <c r="O35" s="215">
        <f>ROUND(SUM(O29:O34),1)</f>
        <v>0</v>
      </c>
      <c r="P35" s="151"/>
      <c r="Q35" s="151"/>
      <c r="R35" s="151"/>
      <c r="S35" s="151"/>
      <c r="T35" s="151"/>
      <c r="U35" s="151"/>
      <c r="V35" s="151"/>
      <c r="W35" s="151"/>
      <c r="X35" s="151"/>
      <c r="Y35" s="151"/>
      <c r="Z35" s="151"/>
      <c r="AA35" s="151"/>
      <c r="AB35" s="151"/>
    </row>
    <row r="36" spans="1:28">
      <c r="A36" s="684"/>
      <c r="B36" s="918"/>
      <c r="C36" s="937"/>
      <c r="D36" s="918"/>
      <c r="E36" s="937"/>
      <c r="F36" s="639"/>
      <c r="G36" s="682"/>
      <c r="H36" s="937"/>
      <c r="I36" s="937"/>
      <c r="J36" s="937"/>
      <c r="K36" s="937"/>
      <c r="L36" s="639"/>
      <c r="M36" s="682"/>
      <c r="N36" s="937"/>
      <c r="O36" s="682"/>
      <c r="P36" s="918"/>
      <c r="Q36" s="918"/>
      <c r="R36" s="918"/>
      <c r="S36" s="918"/>
      <c r="T36" s="918"/>
      <c r="U36" s="918"/>
      <c r="V36" s="918"/>
      <c r="W36" s="918"/>
      <c r="X36" s="918"/>
      <c r="Y36" s="918"/>
      <c r="Z36" s="918"/>
      <c r="AA36" s="918"/>
      <c r="AB36" s="918"/>
    </row>
    <row r="37" spans="1:28">
      <c r="A37" s="29" t="s">
        <v>117</v>
      </c>
      <c r="B37" s="918"/>
      <c r="C37" s="937"/>
      <c r="D37" s="918"/>
      <c r="E37" s="937"/>
      <c r="F37" s="639"/>
      <c r="G37" s="639"/>
      <c r="H37" s="1523"/>
      <c r="I37" s="1523"/>
      <c r="J37" s="1523"/>
      <c r="K37" s="1523"/>
      <c r="L37" s="639"/>
      <c r="M37" s="639"/>
      <c r="N37" s="937"/>
      <c r="O37" s="1523"/>
      <c r="P37" s="918"/>
      <c r="Q37" s="918"/>
      <c r="R37" s="918"/>
      <c r="S37" s="918"/>
      <c r="T37" s="918"/>
      <c r="U37" s="918"/>
      <c r="V37" s="918"/>
      <c r="W37" s="918"/>
      <c r="X37" s="918"/>
      <c r="Y37" s="918"/>
      <c r="Z37" s="918"/>
      <c r="AA37" s="918"/>
      <c r="AB37" s="918"/>
    </row>
    <row r="38" spans="1:28">
      <c r="A38" s="29" t="s">
        <v>118</v>
      </c>
      <c r="B38" s="918"/>
      <c r="C38" s="937"/>
      <c r="D38" s="918"/>
      <c r="E38" s="937"/>
      <c r="F38" s="639"/>
      <c r="G38" s="639"/>
      <c r="H38" s="1523"/>
      <c r="I38" s="1523"/>
      <c r="J38" s="1523"/>
      <c r="K38" s="1523"/>
      <c r="L38" s="639"/>
      <c r="M38" s="639"/>
      <c r="N38" s="937"/>
      <c r="O38" s="1523"/>
      <c r="P38" s="918"/>
      <c r="Q38" s="918"/>
      <c r="R38" s="918"/>
      <c r="S38" s="918"/>
      <c r="T38" s="918"/>
      <c r="U38" s="918"/>
      <c r="V38" s="918"/>
      <c r="W38" s="918"/>
      <c r="X38" s="918"/>
      <c r="Y38" s="918"/>
      <c r="Z38" s="918"/>
      <c r="AA38" s="918"/>
      <c r="AB38" s="918"/>
    </row>
    <row r="39" spans="1:28">
      <c r="A39" s="1115" t="s">
        <v>101</v>
      </c>
      <c r="B39" s="175"/>
      <c r="C39" s="1524">
        <f>ROUND(SUM(C26)-SUM(C35),1)</f>
        <v>0</v>
      </c>
      <c r="D39" s="175"/>
      <c r="E39" s="1524">
        <f>ROUND(SUM(E26)-SUM(E35),1)</f>
        <v>0</v>
      </c>
      <c r="F39" s="84"/>
      <c r="G39" s="76">
        <f>ROUND(SUM(G26)-SUM(G35),1)</f>
        <v>2960.6</v>
      </c>
      <c r="H39" s="1524"/>
      <c r="I39" s="1524">
        <v>0</v>
      </c>
      <c r="J39" s="1524"/>
      <c r="K39" s="1524">
        <f>+G39+I39</f>
        <v>2960.6</v>
      </c>
      <c r="L39" s="84"/>
      <c r="M39" s="76">
        <f>ROUND(SUM(M26)-SUM(M35),1)</f>
        <v>0</v>
      </c>
      <c r="N39" s="392"/>
      <c r="O39" s="1524">
        <f>ROUND(SUM(O26)-SUM(O35),1)</f>
        <v>0</v>
      </c>
      <c r="P39" s="151"/>
      <c r="Q39" s="174"/>
      <c r="R39" s="151"/>
      <c r="S39" s="174"/>
      <c r="T39" s="151"/>
      <c r="U39" s="151"/>
      <c r="V39" s="174"/>
      <c r="W39" s="151"/>
      <c r="X39" s="151"/>
      <c r="Y39" s="174"/>
      <c r="Z39" s="151"/>
      <c r="AA39" s="174"/>
      <c r="AB39" s="151"/>
    </row>
    <row r="40" spans="1:28" ht="15" customHeight="1">
      <c r="C40" s="665"/>
      <c r="E40" s="665"/>
      <c r="F40" s="926"/>
      <c r="G40" s="665"/>
      <c r="H40" s="665"/>
      <c r="I40" s="665"/>
      <c r="J40" s="665"/>
      <c r="K40" s="665"/>
      <c r="L40" s="926"/>
      <c r="M40" s="665"/>
      <c r="N40" s="665"/>
      <c r="O40" s="665"/>
    </row>
    <row r="41" spans="1:28">
      <c r="A41" s="1115" t="str">
        <f>+'Exh D-Governmental  '!A49</f>
        <v>Fund Balances (Deficits) at April 1</v>
      </c>
      <c r="C41" s="1932">
        <f>'Exh D Special Revenue State Fed'!C41+'Exh D Special Revenue State Fed'!N41</f>
        <v>0</v>
      </c>
      <c r="D41" s="1933"/>
      <c r="E41" s="1932">
        <f>'Exh D Special Revenue State Fed'!E41+'Exh D Special Revenue State Fed'!P41</f>
        <v>0</v>
      </c>
      <c r="F41" s="926"/>
      <c r="G41" s="1524">
        <f>'Exh D Special Revenue State Fed'!G41+'Exh D Special Revenue State Fed'!R41</f>
        <v>10669.3</v>
      </c>
      <c r="H41" s="1524"/>
      <c r="I41" s="1524">
        <v>0</v>
      </c>
      <c r="J41" s="1524"/>
      <c r="K41" s="1524">
        <f>+G41+I41</f>
        <v>10669.3</v>
      </c>
      <c r="L41" s="926"/>
      <c r="M41" s="74">
        <v>0</v>
      </c>
      <c r="N41" s="665"/>
      <c r="O41" s="74">
        <v>0</v>
      </c>
    </row>
    <row r="42" spans="1:28" ht="18" customHeight="1" thickBot="1">
      <c r="A42" s="1343" t="str">
        <f>+'Exh D-Governmental  '!A50</f>
        <v>Fund Balances (Deficits) at April 30, 2021</v>
      </c>
      <c r="B42" s="175"/>
      <c r="C42" s="98">
        <f>ROUND(SUM(C39:C41),1)</f>
        <v>0</v>
      </c>
      <c r="D42" s="175"/>
      <c r="E42" s="98">
        <f>ROUND(SUM(E39:E41),1)</f>
        <v>0</v>
      </c>
      <c r="F42" s="181"/>
      <c r="G42" s="98">
        <f>ROUND(SUM(G39:G41),1)</f>
        <v>13629.9</v>
      </c>
      <c r="H42" s="219"/>
      <c r="I42" s="98">
        <f>ROUND(SUM(I39:I41),1)</f>
        <v>0</v>
      </c>
      <c r="J42" s="219"/>
      <c r="K42" s="98">
        <f>ROUND(SUM(K39:K41),1)</f>
        <v>13629.9</v>
      </c>
      <c r="L42" s="181"/>
      <c r="M42" s="98">
        <f>ROUND(SUM(M39:M41),1)</f>
        <v>0</v>
      </c>
      <c r="O42" s="98">
        <f>ROUND(SUM(O39:O41),1)</f>
        <v>0</v>
      </c>
    </row>
    <row r="43" spans="1:28" ht="15" customHeight="1" thickTop="1">
      <c r="A43" s="155"/>
      <c r="E43" s="683"/>
      <c r="F43" s="943"/>
      <c r="G43" s="943"/>
      <c r="H43" s="943"/>
      <c r="I43" s="943"/>
      <c r="J43" s="943"/>
      <c r="K43" s="943"/>
      <c r="L43" s="943"/>
      <c r="M43" s="943"/>
      <c r="O43" s="1536"/>
    </row>
    <row r="44" spans="1:28">
      <c r="A44" s="930" t="str">
        <f>'Exh D-Governmental  '!A52</f>
        <v>(*)    Due to the absence of the 2021-22 Enacted Budget Financial Plan, the "Financial Plan Cashflow" is not available;</v>
      </c>
    </row>
    <row r="45" spans="1:28">
      <c r="A45" s="930" t="str">
        <f>'Exh D-Governmental  '!A53</f>
        <v xml:space="preserve">        therefore no Plan-to-Actual comparison can be made for the period ending April 30, 2021.</v>
      </c>
    </row>
    <row r="46" spans="1:28">
      <c r="A46" s="1491" t="s">
        <v>1439</v>
      </c>
      <c r="I46" s="929" t="s">
        <v>14</v>
      </c>
    </row>
    <row r="47" spans="1:28">
      <c r="A47" s="944"/>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765625" defaultRowHeight="15.5"/>
  <cols>
    <col min="1" max="1" width="53.07421875" style="925" customWidth="1"/>
    <col min="2" max="2" width="0.765625" style="618" customWidth="1"/>
    <col min="3" max="3" width="15.765625" style="425" customWidth="1"/>
    <col min="4" max="4" width="0.765625" style="929" customWidth="1"/>
    <col min="5" max="5" width="15.765625" style="425" customWidth="1"/>
    <col min="6" max="6" width="0.765625" style="929" customWidth="1"/>
    <col min="7" max="7" width="15.765625" style="929" customWidth="1"/>
    <col min="8" max="8" width="0.765625" style="929" customWidth="1"/>
    <col min="9" max="9" width="15.765625" style="929" customWidth="1"/>
    <col min="10" max="10" width="0.765625" style="929" customWidth="1"/>
    <col min="11" max="11" width="15.765625" style="929" customWidth="1"/>
    <col min="12" max="12" width="1.765625" style="618" customWidth="1"/>
    <col min="13" max="13" width="0.765625" style="618" customWidth="1"/>
    <col min="14" max="14" width="15.765625" style="618" customWidth="1"/>
    <col min="15" max="15" width="1.07421875" style="618" customWidth="1"/>
    <col min="16" max="16" width="15.765625" style="618" customWidth="1"/>
    <col min="17" max="17" width="1.07421875" style="618" customWidth="1"/>
    <col min="18" max="18" width="15.765625" style="618" customWidth="1"/>
    <col min="19" max="19" width="0.53515625" style="618" customWidth="1"/>
    <col min="20" max="20" width="15.765625" style="618" customWidth="1"/>
    <col min="21" max="21" width="1.07421875" style="618" customWidth="1"/>
    <col min="22" max="22" width="15.765625" style="425" customWidth="1"/>
    <col min="23" max="23" width="1" style="618" customWidth="1"/>
    <col min="24" max="24" width="3.765625" style="425" customWidth="1"/>
    <col min="25" max="25" width="1" style="618" customWidth="1"/>
    <col min="26" max="26" width="15.765625" style="618" customWidth="1"/>
    <col min="27" max="27" width="0.765625" style="618" customWidth="1"/>
    <col min="28" max="28" width="15.765625" style="618" customWidth="1"/>
    <col min="29" max="29" width="7.421875E-2" style="618" customWidth="1"/>
    <col min="30" max="30" width="11.765625" style="618" customWidth="1"/>
    <col min="31" max="31" width="11.4609375" style="618" customWidth="1"/>
    <col min="32" max="32" width="1.765625" style="618" customWidth="1"/>
    <col min="33" max="33" width="11.765625" style="618" customWidth="1"/>
    <col min="34" max="34" width="2.07421875" style="618" customWidth="1"/>
    <col min="35" max="35" width="11.4609375" style="618" customWidth="1"/>
    <col min="36" max="36" width="0.53515625" style="618" customWidth="1"/>
    <col min="37" max="37" width="2.07421875" style="618" customWidth="1"/>
    <col min="38" max="38" width="10.53515625" style="618" customWidth="1"/>
    <col min="39" max="39" width="11.07421875" style="618" customWidth="1"/>
    <col min="40" max="40" width="2.07421875" style="618" customWidth="1"/>
    <col min="41" max="41" width="11.07421875" style="618" customWidth="1"/>
    <col min="42" max="42" width="2.07421875" style="618" customWidth="1"/>
    <col min="43" max="43" width="12.4609375" style="618" customWidth="1"/>
    <col min="44" max="48" width="8.765625" style="618"/>
    <col min="49" max="49" width="8.765625" style="929"/>
    <col min="50" max="16384" width="8.765625" style="925"/>
  </cols>
  <sheetData>
    <row r="1" spans="1:49">
      <c r="A1" s="931" t="s">
        <v>885</v>
      </c>
      <c r="B1" s="186"/>
      <c r="C1" s="419"/>
      <c r="D1" s="187"/>
      <c r="E1" s="419"/>
      <c r="F1" s="187"/>
      <c r="G1" s="187"/>
      <c r="H1" s="187"/>
      <c r="I1" s="187"/>
      <c r="J1" s="187"/>
      <c r="K1" s="187"/>
      <c r="L1" s="186"/>
      <c r="M1" s="186"/>
      <c r="N1" s="186"/>
      <c r="O1" s="186"/>
      <c r="P1" s="186"/>
      <c r="Q1" s="186"/>
      <c r="R1" s="186"/>
      <c r="S1" s="186"/>
      <c r="T1" s="186"/>
      <c r="U1" s="186"/>
      <c r="V1" s="1176"/>
      <c r="W1" s="186"/>
      <c r="X1" s="1176"/>
      <c r="Y1" s="186"/>
      <c r="Z1" s="186"/>
      <c r="AA1" s="186"/>
      <c r="AB1" s="186"/>
      <c r="AC1" s="187"/>
      <c r="AD1" s="186"/>
      <c r="AE1" s="186"/>
      <c r="AF1" s="186"/>
      <c r="AG1" s="186"/>
      <c r="AH1" s="186"/>
      <c r="AI1" s="186"/>
      <c r="AJ1" s="186"/>
      <c r="AK1" s="186"/>
      <c r="AL1" s="186"/>
      <c r="AM1" s="186"/>
      <c r="AN1" s="186"/>
      <c r="AO1" s="186"/>
      <c r="AP1" s="186"/>
      <c r="AQ1" s="186"/>
      <c r="AR1" s="925"/>
      <c r="AS1" s="925"/>
      <c r="AT1" s="925"/>
      <c r="AU1" s="925"/>
      <c r="AV1" s="925"/>
      <c r="AW1" s="925"/>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76"/>
      <c r="W2" s="186"/>
      <c r="X2" s="1176"/>
      <c r="Y2" s="186"/>
      <c r="Z2" s="1177"/>
      <c r="AA2" s="186"/>
      <c r="AB2" s="186"/>
      <c r="AC2" s="187"/>
      <c r="AD2" s="186"/>
      <c r="AE2" s="186"/>
      <c r="AF2" s="186"/>
      <c r="AG2" s="186"/>
      <c r="AH2" s="186"/>
      <c r="AI2" s="186"/>
      <c r="AJ2" s="186"/>
      <c r="AK2" s="186"/>
      <c r="AL2" s="186"/>
      <c r="AM2" s="186"/>
      <c r="AN2" s="186"/>
      <c r="AO2" s="186"/>
      <c r="AP2" s="186"/>
      <c r="AQ2" s="186"/>
      <c r="AR2" s="925"/>
      <c r="AS2" s="925"/>
      <c r="AT2" s="925"/>
      <c r="AU2" s="925"/>
      <c r="AV2" s="925"/>
      <c r="AW2" s="925"/>
    </row>
    <row r="3" spans="1:49" ht="17.25" customHeight="1">
      <c r="A3" s="191" t="s">
        <v>0</v>
      </c>
      <c r="B3" s="148"/>
      <c r="C3" s="421"/>
      <c r="D3" s="143"/>
      <c r="E3" s="421"/>
      <c r="F3" s="143"/>
      <c r="G3" s="143"/>
      <c r="H3" s="143"/>
      <c r="I3" s="143"/>
      <c r="J3" s="143"/>
      <c r="K3" s="143"/>
      <c r="L3" s="156"/>
      <c r="M3" s="156"/>
      <c r="N3" s="156"/>
      <c r="O3" s="156"/>
      <c r="P3" s="156"/>
      <c r="Q3" s="156"/>
      <c r="R3" s="156"/>
      <c r="S3" s="156"/>
      <c r="T3" s="816"/>
      <c r="U3" s="156"/>
      <c r="V3" s="816" t="s">
        <v>82</v>
      </c>
      <c r="W3" s="156"/>
      <c r="X3" s="1178"/>
      <c r="Y3" s="156"/>
      <c r="Z3" s="156"/>
      <c r="AA3" s="156"/>
      <c r="AB3" s="1179"/>
      <c r="AC3" s="143"/>
      <c r="AD3" s="156"/>
      <c r="AE3" s="156"/>
      <c r="AF3" s="156"/>
      <c r="AG3" s="156"/>
      <c r="AH3" s="156"/>
      <c r="AI3" s="156"/>
      <c r="AJ3" s="156"/>
      <c r="AK3" s="156"/>
      <c r="AL3" s="156"/>
      <c r="AM3" s="156"/>
      <c r="AN3" s="156"/>
      <c r="AO3" s="156"/>
      <c r="AP3" s="156"/>
      <c r="AQ3" s="192"/>
      <c r="AR3" s="925"/>
      <c r="AS3" s="925"/>
      <c r="AT3" s="925"/>
      <c r="AU3" s="925"/>
      <c r="AV3" s="925"/>
      <c r="AW3" s="925"/>
    </row>
    <row r="4" spans="1:49" ht="17.25" customHeight="1">
      <c r="A4" s="191" t="s">
        <v>81</v>
      </c>
      <c r="B4" s="148"/>
      <c r="C4" s="421"/>
      <c r="D4" s="143"/>
      <c r="E4" s="421"/>
      <c r="F4" s="143"/>
      <c r="G4" s="143"/>
      <c r="H4" s="143"/>
      <c r="I4" s="143"/>
      <c r="J4" s="143"/>
      <c r="K4" s="143"/>
      <c r="L4" s="156"/>
      <c r="M4" s="156"/>
      <c r="N4" s="156"/>
      <c r="O4" s="156"/>
      <c r="P4" s="156"/>
      <c r="Q4" s="156"/>
      <c r="R4" s="156"/>
      <c r="S4" s="156"/>
      <c r="T4" s="817"/>
      <c r="U4" s="156"/>
      <c r="V4" s="817"/>
      <c r="W4" s="156"/>
      <c r="X4" s="1178"/>
      <c r="Y4" s="156"/>
      <c r="Z4" s="156"/>
      <c r="AA4" s="156"/>
      <c r="AB4" s="1180"/>
      <c r="AC4" s="143"/>
      <c r="AD4" s="156"/>
      <c r="AE4" s="156"/>
      <c r="AF4" s="156"/>
      <c r="AG4" s="156"/>
      <c r="AH4" s="156"/>
      <c r="AI4" s="156"/>
      <c r="AJ4" s="156"/>
      <c r="AK4" s="156"/>
      <c r="AL4" s="156"/>
      <c r="AM4" s="156"/>
      <c r="AN4" s="156"/>
      <c r="AO4" s="156"/>
      <c r="AP4" s="156"/>
      <c r="AQ4" s="156"/>
      <c r="AR4" s="925"/>
      <c r="AS4" s="925"/>
      <c r="AT4" s="925"/>
      <c r="AU4" s="925"/>
      <c r="AV4" s="925"/>
      <c r="AW4" s="925"/>
    </row>
    <row r="5" spans="1:49" ht="17.25" customHeight="1">
      <c r="A5" s="3925" t="str">
        <f>'Exh D-Governmental  '!A5:E5</f>
        <v>FISCAL YEAR 2021-2022</v>
      </c>
      <c r="B5" s="3926"/>
      <c r="C5" s="3926"/>
      <c r="D5" s="3926"/>
      <c r="E5" s="3926"/>
      <c r="F5" s="143"/>
      <c r="G5" s="809"/>
      <c r="H5" s="143"/>
      <c r="I5" s="143"/>
      <c r="J5" s="143"/>
      <c r="K5" s="143"/>
      <c r="L5" s="156"/>
      <c r="M5" s="156"/>
      <c r="N5" s="2047"/>
      <c r="O5" s="156"/>
      <c r="P5" s="156"/>
      <c r="Q5" s="156"/>
      <c r="R5" s="156"/>
      <c r="S5" s="156"/>
      <c r="T5" s="156"/>
      <c r="U5" s="156"/>
      <c r="V5" s="1178"/>
      <c r="W5" s="156"/>
      <c r="X5" s="1178"/>
      <c r="Y5" s="156"/>
      <c r="Z5" s="156"/>
      <c r="AA5" s="156"/>
      <c r="AB5" s="156"/>
      <c r="AC5" s="143"/>
      <c r="AD5" s="156"/>
      <c r="AE5" s="156"/>
      <c r="AF5" s="156"/>
      <c r="AG5" s="156"/>
      <c r="AH5" s="156"/>
      <c r="AI5" s="156"/>
      <c r="AJ5" s="156"/>
      <c r="AK5" s="156"/>
      <c r="AL5" s="156"/>
      <c r="AM5" s="156"/>
      <c r="AN5" s="156"/>
      <c r="AO5" s="156"/>
      <c r="AP5" s="156"/>
      <c r="AQ5" s="156"/>
      <c r="AR5" s="925"/>
      <c r="AS5" s="925"/>
      <c r="AT5" s="925"/>
      <c r="AU5" s="925"/>
      <c r="AV5" s="925"/>
      <c r="AW5" s="925"/>
    </row>
    <row r="6" spans="1:49" ht="17.25" customHeight="1">
      <c r="A6" s="1467" t="str">
        <f>'Exh D-Governmental  '!A6</f>
        <v xml:space="preserve">FOR ONE MONTH ENDED APRIL 30, 2021    </v>
      </c>
      <c r="B6" s="3904"/>
      <c r="C6" s="3905"/>
      <c r="D6" s="3906"/>
      <c r="E6" s="3905"/>
      <c r="F6" s="143"/>
      <c r="G6" s="143"/>
      <c r="H6" s="143"/>
      <c r="I6" s="143"/>
      <c r="J6" s="143"/>
      <c r="K6" s="143"/>
      <c r="L6" s="156"/>
      <c r="M6" s="156"/>
      <c r="N6" s="156"/>
      <c r="O6" s="156"/>
      <c r="P6" s="156"/>
      <c r="Q6" s="156"/>
      <c r="R6" s="156"/>
      <c r="S6" s="156"/>
      <c r="T6" s="156"/>
      <c r="U6" s="156"/>
      <c r="V6" s="1178"/>
      <c r="W6" s="156"/>
      <c r="X6" s="1178"/>
      <c r="Y6" s="156"/>
      <c r="Z6" s="156"/>
      <c r="AA6" s="156"/>
      <c r="AB6" s="156"/>
      <c r="AC6" s="143"/>
      <c r="AD6" s="156"/>
      <c r="AE6" s="156"/>
      <c r="AF6" s="156"/>
      <c r="AG6" s="156"/>
      <c r="AH6" s="156"/>
      <c r="AI6" s="156"/>
      <c r="AJ6" s="156"/>
      <c r="AK6" s="156"/>
      <c r="AL6" s="156"/>
      <c r="AM6" s="156"/>
      <c r="AN6" s="156"/>
      <c r="AO6" s="156"/>
      <c r="AP6" s="156"/>
      <c r="AQ6" s="156"/>
      <c r="AR6" s="925"/>
      <c r="AS6" s="925"/>
      <c r="AT6" s="925"/>
      <c r="AU6" s="925"/>
      <c r="AV6" s="925"/>
      <c r="AW6" s="925"/>
    </row>
    <row r="7" spans="1:49" ht="18">
      <c r="A7" s="191" t="s">
        <v>1281</v>
      </c>
      <c r="B7" s="148"/>
      <c r="C7" s="421"/>
      <c r="D7" s="143"/>
      <c r="E7" s="421"/>
      <c r="F7" s="143"/>
      <c r="G7" s="143"/>
      <c r="H7" s="143"/>
      <c r="I7" s="143"/>
      <c r="J7" s="143"/>
      <c r="K7" s="143"/>
      <c r="L7" s="156"/>
      <c r="M7" s="156"/>
      <c r="N7" s="156"/>
      <c r="O7" s="156"/>
      <c r="P7" s="156"/>
      <c r="Q7" s="156"/>
      <c r="R7" s="156"/>
      <c r="S7" s="156"/>
      <c r="T7" s="156"/>
      <c r="U7" s="156"/>
      <c r="V7" s="1178"/>
      <c r="W7" s="156"/>
      <c r="X7" s="1178"/>
      <c r="Y7" s="156"/>
      <c r="Z7" s="156"/>
      <c r="AA7" s="156"/>
      <c r="AB7" s="156"/>
      <c r="AC7" s="143"/>
      <c r="AD7" s="156"/>
      <c r="AE7" s="156"/>
      <c r="AF7" s="156"/>
      <c r="AG7" s="156"/>
      <c r="AH7" s="156"/>
      <c r="AI7" s="156"/>
      <c r="AJ7" s="156"/>
      <c r="AK7" s="156"/>
      <c r="AL7" s="156"/>
      <c r="AM7" s="156"/>
      <c r="AN7" s="156"/>
      <c r="AO7" s="156"/>
      <c r="AP7" s="156"/>
      <c r="AQ7" s="156"/>
      <c r="AR7" s="925"/>
      <c r="AS7" s="925"/>
      <c r="AT7" s="925"/>
      <c r="AU7" s="925"/>
      <c r="AV7" s="925"/>
      <c r="AW7" s="925"/>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78"/>
      <c r="W8" s="156"/>
      <c r="X8" s="1178"/>
      <c r="Y8" s="156"/>
      <c r="Z8" s="156"/>
      <c r="AA8" s="156"/>
      <c r="AB8" s="156"/>
      <c r="AC8" s="143"/>
      <c r="AD8" s="156"/>
      <c r="AE8" s="156"/>
      <c r="AF8" s="156"/>
      <c r="AG8" s="156"/>
      <c r="AH8" s="156"/>
      <c r="AI8" s="156"/>
      <c r="AJ8" s="156"/>
      <c r="AK8" s="156"/>
      <c r="AL8" s="156"/>
      <c r="AM8" s="156"/>
      <c r="AN8" s="156"/>
      <c r="AO8" s="156"/>
      <c r="AP8" s="156"/>
      <c r="AQ8" s="156"/>
      <c r="AR8" s="925"/>
      <c r="AS8" s="925"/>
      <c r="AT8" s="925"/>
      <c r="AU8" s="925"/>
      <c r="AV8" s="925"/>
      <c r="AW8" s="925"/>
    </row>
    <row r="9" spans="1:49">
      <c r="A9" s="150"/>
      <c r="B9" s="156"/>
      <c r="C9" s="422"/>
      <c r="D9" s="143"/>
      <c r="E9" s="422"/>
      <c r="F9" s="143"/>
      <c r="G9" s="143"/>
      <c r="H9" s="143"/>
      <c r="I9" s="143"/>
      <c r="J9" s="143"/>
      <c r="K9" s="143"/>
      <c r="L9" s="156"/>
      <c r="M9" s="156"/>
      <c r="N9" s="156"/>
      <c r="O9" s="156"/>
      <c r="P9" s="156"/>
      <c r="Q9" s="156"/>
      <c r="R9" s="156"/>
      <c r="S9" s="156"/>
      <c r="T9" s="156"/>
      <c r="U9" s="156"/>
      <c r="V9" s="1178"/>
      <c r="W9" s="156"/>
      <c r="X9" s="1178"/>
      <c r="Y9" s="156"/>
      <c r="Z9" s="156"/>
      <c r="AA9" s="156"/>
      <c r="AB9" s="156"/>
      <c r="AC9" s="143"/>
      <c r="AD9" s="156"/>
      <c r="AE9" s="156"/>
      <c r="AF9" s="156"/>
      <c r="AG9" s="156"/>
      <c r="AH9" s="156"/>
      <c r="AI9" s="156"/>
      <c r="AJ9" s="156"/>
      <c r="AK9" s="156"/>
      <c r="AL9" s="156"/>
      <c r="AM9" s="156"/>
      <c r="AN9" s="156"/>
      <c r="AO9" s="156"/>
      <c r="AP9" s="156"/>
      <c r="AQ9" s="156"/>
      <c r="AR9" s="925"/>
      <c r="AS9" s="925"/>
      <c r="AT9" s="925"/>
      <c r="AU9" s="925"/>
      <c r="AV9" s="925"/>
      <c r="AW9" s="925"/>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58"/>
      <c r="W10" s="147"/>
      <c r="X10" s="958"/>
      <c r="Y10" s="147"/>
      <c r="Z10" s="147"/>
      <c r="AA10" s="147"/>
      <c r="AB10" s="147"/>
      <c r="AC10" s="143"/>
      <c r="AD10" s="156"/>
      <c r="AE10" s="156"/>
      <c r="AF10" s="156"/>
      <c r="AG10" s="156"/>
      <c r="AH10" s="156"/>
      <c r="AI10" s="156"/>
      <c r="AJ10" s="156"/>
      <c r="AK10" s="156"/>
      <c r="AL10" s="156"/>
      <c r="AM10" s="156"/>
      <c r="AN10" s="156"/>
      <c r="AO10" s="156"/>
      <c r="AP10" s="156"/>
      <c r="AQ10" s="156"/>
      <c r="AR10" s="925"/>
      <c r="AS10" s="925"/>
      <c r="AT10" s="925"/>
      <c r="AU10" s="925"/>
      <c r="AV10" s="925"/>
      <c r="AW10" s="925"/>
    </row>
    <row r="11" spans="1:49">
      <c r="A11" s="684"/>
      <c r="C11" s="3927" t="s">
        <v>1043</v>
      </c>
      <c r="D11" s="3927"/>
      <c r="E11" s="3927"/>
      <c r="F11" s="3927"/>
      <c r="G11" s="3927"/>
      <c r="H11" s="3927"/>
      <c r="I11" s="3927"/>
      <c r="J11" s="1172"/>
      <c r="K11" s="1172"/>
      <c r="L11" s="196"/>
      <c r="M11" s="194"/>
      <c r="N11" s="3927" t="s">
        <v>1044</v>
      </c>
      <c r="O11" s="3927"/>
      <c r="P11" s="3927"/>
      <c r="Q11" s="3927"/>
      <c r="R11" s="3927"/>
      <c r="S11" s="3927"/>
      <c r="T11" s="3927"/>
      <c r="U11" s="1181"/>
      <c r="V11" s="1409"/>
      <c r="W11" s="1430"/>
      <c r="X11" s="1430"/>
      <c r="Y11" s="1430"/>
      <c r="Z11" s="1430"/>
      <c r="AA11" s="1430"/>
      <c r="AB11" s="1430"/>
      <c r="AC11" s="151"/>
      <c r="AD11" s="194"/>
      <c r="AE11" s="194"/>
      <c r="AF11" s="194"/>
      <c r="AG11" s="194"/>
      <c r="AH11" s="194"/>
      <c r="AI11" s="194"/>
      <c r="AJ11" s="194"/>
      <c r="AK11" s="151"/>
      <c r="AL11" s="194"/>
      <c r="AM11" s="195"/>
      <c r="AN11" s="194"/>
      <c r="AO11" s="194"/>
      <c r="AP11" s="194"/>
      <c r="AQ11" s="194"/>
      <c r="AR11" s="925"/>
      <c r="AS11" s="925"/>
      <c r="AT11" s="925"/>
      <c r="AU11" s="925"/>
      <c r="AV11" s="925"/>
      <c r="AW11" s="925"/>
    </row>
    <row r="12" spans="1:49">
      <c r="A12" s="684"/>
      <c r="C12" s="423"/>
      <c r="D12" s="196"/>
      <c r="E12" s="423"/>
      <c r="F12" s="196"/>
      <c r="G12" s="197"/>
      <c r="H12" s="196"/>
      <c r="I12" s="196" t="s">
        <v>83</v>
      </c>
      <c r="J12" s="196"/>
      <c r="K12" s="196" t="s">
        <v>83</v>
      </c>
      <c r="L12" s="196"/>
      <c r="M12" s="1196"/>
      <c r="N12" s="423"/>
      <c r="O12" s="196"/>
      <c r="P12" s="423"/>
      <c r="Q12" s="196"/>
      <c r="R12" s="197"/>
      <c r="S12" s="196"/>
      <c r="T12" s="196" t="s">
        <v>83</v>
      </c>
      <c r="U12" s="194"/>
      <c r="V12" s="196" t="s">
        <v>83</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25"/>
      <c r="AS12" s="925"/>
      <c r="AT12" s="925"/>
      <c r="AU12" s="925"/>
      <c r="AV12" s="925"/>
      <c r="AW12" s="925"/>
    </row>
    <row r="13" spans="1:49">
      <c r="A13" s="684"/>
      <c r="B13" s="151"/>
      <c r="C13" s="424"/>
      <c r="D13" s="198"/>
      <c r="E13" s="424"/>
      <c r="F13" s="198"/>
      <c r="G13" s="198"/>
      <c r="H13" s="198"/>
      <c r="I13" s="199" t="s">
        <v>798</v>
      </c>
      <c r="J13" s="199"/>
      <c r="K13" s="199" t="s">
        <v>798</v>
      </c>
      <c r="L13" s="961"/>
      <c r="M13" s="1197"/>
      <c r="N13" s="424"/>
      <c r="O13" s="198"/>
      <c r="P13" s="424"/>
      <c r="Q13" s="198"/>
      <c r="R13" s="198"/>
      <c r="S13" s="198"/>
      <c r="T13" s="199" t="s">
        <v>798</v>
      </c>
      <c r="U13" s="201"/>
      <c r="V13" s="199" t="s">
        <v>798</v>
      </c>
      <c r="W13" s="960"/>
      <c r="X13" s="959"/>
      <c r="Y13" s="960"/>
      <c r="Z13" s="960"/>
      <c r="AA13" s="960"/>
      <c r="AB13" s="961"/>
      <c r="AC13" s="151"/>
      <c r="AD13" s="151"/>
      <c r="AE13" s="151"/>
      <c r="AF13" s="151"/>
      <c r="AG13" s="151"/>
      <c r="AH13" s="151"/>
      <c r="AI13" s="200"/>
      <c r="AJ13" s="201"/>
      <c r="AK13" s="151"/>
      <c r="AL13" s="151"/>
      <c r="AM13" s="151"/>
      <c r="AN13" s="151"/>
      <c r="AO13" s="151"/>
      <c r="AP13" s="151"/>
      <c r="AQ13" s="200"/>
      <c r="AR13" s="925"/>
      <c r="AS13" s="925"/>
      <c r="AT13" s="925"/>
      <c r="AU13" s="925"/>
      <c r="AV13" s="925"/>
      <c r="AW13" s="925"/>
    </row>
    <row r="14" spans="1:49">
      <c r="A14" s="684"/>
      <c r="B14" s="202"/>
      <c r="C14" s="154" t="s">
        <v>994</v>
      </c>
      <c r="D14" s="925"/>
      <c r="E14" s="153" t="s">
        <v>995</v>
      </c>
      <c r="F14" s="152"/>
      <c r="G14" s="152"/>
      <c r="H14" s="152"/>
      <c r="I14" s="153" t="s">
        <v>84</v>
      </c>
      <c r="J14" s="153"/>
      <c r="K14" s="153" t="s">
        <v>84</v>
      </c>
      <c r="L14" s="201"/>
      <c r="M14" s="1197"/>
      <c r="N14" s="154" t="s">
        <v>994</v>
      </c>
      <c r="O14" s="925"/>
      <c r="P14" s="153" t="s">
        <v>995</v>
      </c>
      <c r="Q14" s="152"/>
      <c r="R14" s="152"/>
      <c r="S14" s="152"/>
      <c r="T14" s="153" t="s">
        <v>84</v>
      </c>
      <c r="U14" s="201"/>
      <c r="V14" s="153" t="s">
        <v>84</v>
      </c>
      <c r="W14" s="685"/>
      <c r="X14" s="201"/>
      <c r="Y14" s="151"/>
      <c r="Z14" s="151"/>
      <c r="AA14" s="151"/>
      <c r="AB14" s="201"/>
      <c r="AC14" s="151"/>
      <c r="AD14" s="200"/>
      <c r="AE14" s="201"/>
      <c r="AF14" s="151"/>
      <c r="AG14" s="151"/>
      <c r="AH14" s="151"/>
      <c r="AI14" s="200"/>
      <c r="AJ14" s="201"/>
      <c r="AK14" s="151"/>
      <c r="AL14" s="200"/>
      <c r="AM14" s="201"/>
      <c r="AN14" s="151"/>
      <c r="AO14" s="151"/>
      <c r="AP14" s="151"/>
      <c r="AQ14" s="200"/>
      <c r="AR14" s="925"/>
      <c r="AS14" s="925"/>
      <c r="AT14" s="925"/>
      <c r="AU14" s="925"/>
      <c r="AV14" s="925"/>
      <c r="AW14" s="925"/>
    </row>
    <row r="15" spans="1:49">
      <c r="A15" s="684"/>
      <c r="B15" s="202"/>
      <c r="C15" s="153" t="s">
        <v>1031</v>
      </c>
      <c r="D15" s="152"/>
      <c r="E15" s="153" t="s">
        <v>1031</v>
      </c>
      <c r="F15" s="152"/>
      <c r="G15" s="152"/>
      <c r="H15" s="152"/>
      <c r="I15" s="153" t="s">
        <v>994</v>
      </c>
      <c r="J15" s="153"/>
      <c r="K15" s="153" t="s">
        <v>995</v>
      </c>
      <c r="L15" s="201"/>
      <c r="M15" s="1197"/>
      <c r="N15" s="153" t="s">
        <v>1031</v>
      </c>
      <c r="O15" s="152"/>
      <c r="P15" s="153" t="s">
        <v>1031</v>
      </c>
      <c r="Q15" s="152"/>
      <c r="R15" s="152"/>
      <c r="S15" s="152"/>
      <c r="T15" s="153" t="s">
        <v>994</v>
      </c>
      <c r="U15" s="201"/>
      <c r="V15" s="153" t="s">
        <v>995</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25"/>
      <c r="AS15" s="925"/>
      <c r="AT15" s="925"/>
      <c r="AU15" s="925"/>
      <c r="AV15" s="925"/>
      <c r="AW15" s="925"/>
    </row>
    <row r="16" spans="1:49">
      <c r="A16" s="684"/>
      <c r="B16" s="201"/>
      <c r="C16" s="153" t="s">
        <v>1032</v>
      </c>
      <c r="D16" s="152"/>
      <c r="E16" s="153" t="s">
        <v>1433</v>
      </c>
      <c r="F16" s="152"/>
      <c r="G16" s="154" t="s">
        <v>83</v>
      </c>
      <c r="H16" s="152"/>
      <c r="I16" s="153" t="s">
        <v>85</v>
      </c>
      <c r="J16" s="201"/>
      <c r="K16" s="153" t="s">
        <v>85</v>
      </c>
      <c r="L16" s="201"/>
      <c r="M16" s="1204"/>
      <c r="N16" s="1205" t="s">
        <v>1032</v>
      </c>
      <c r="O16" s="152"/>
      <c r="P16" s="153" t="s">
        <v>1433</v>
      </c>
      <c r="Q16" s="152"/>
      <c r="R16" s="154" t="s">
        <v>83</v>
      </c>
      <c r="S16" s="152"/>
      <c r="T16" s="153" t="s">
        <v>85</v>
      </c>
      <c r="U16" s="201"/>
      <c r="V16" s="153" t="s">
        <v>85</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25"/>
      <c r="AS16" s="925"/>
      <c r="AT16" s="925"/>
      <c r="AU16" s="925"/>
      <c r="AV16" s="925"/>
      <c r="AW16" s="925"/>
    </row>
    <row r="17" spans="1:49">
      <c r="A17" s="155"/>
      <c r="B17" s="156"/>
      <c r="C17" s="157"/>
      <c r="D17" s="143"/>
      <c r="E17" s="157"/>
      <c r="F17" s="143"/>
      <c r="G17" s="157"/>
      <c r="H17" s="143"/>
      <c r="I17" s="157"/>
      <c r="J17" s="156"/>
      <c r="K17" s="157"/>
      <c r="L17" s="156"/>
      <c r="M17" s="1198"/>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25"/>
      <c r="AS17" s="925"/>
      <c r="AT17" s="925"/>
      <c r="AU17" s="925"/>
      <c r="AV17" s="925"/>
      <c r="AW17" s="925"/>
    </row>
    <row r="18" spans="1:49">
      <c r="A18" s="29" t="s">
        <v>13</v>
      </c>
      <c r="B18" s="918"/>
      <c r="C18" s="653"/>
      <c r="D18" s="653"/>
      <c r="E18" s="653"/>
      <c r="F18" s="653"/>
      <c r="G18" s="653"/>
      <c r="H18" s="653"/>
      <c r="I18" s="918"/>
      <c r="J18" s="653"/>
      <c r="K18" s="918"/>
      <c r="L18" s="918"/>
      <c r="M18" s="1199"/>
      <c r="N18" s="653"/>
      <c r="O18" s="653"/>
      <c r="P18" s="653"/>
      <c r="Q18" s="653"/>
      <c r="R18" s="653"/>
      <c r="S18" s="653"/>
      <c r="T18" s="653"/>
      <c r="U18" s="918"/>
      <c r="V18" s="918"/>
      <c r="W18" s="918"/>
      <c r="X18" s="918"/>
      <c r="Y18" s="918"/>
      <c r="Z18" s="918"/>
      <c r="AA18" s="918"/>
      <c r="AB18" s="918"/>
      <c r="AC18" s="918"/>
      <c r="AD18" s="918"/>
      <c r="AE18" s="918"/>
      <c r="AF18" s="918"/>
      <c r="AG18" s="918"/>
      <c r="AH18" s="918"/>
      <c r="AI18" s="918"/>
      <c r="AJ18" s="918"/>
      <c r="AK18" s="918"/>
      <c r="AL18" s="918"/>
      <c r="AM18" s="918"/>
      <c r="AN18" s="918"/>
      <c r="AO18" s="918"/>
      <c r="AP18" s="918"/>
      <c r="AQ18" s="918"/>
      <c r="AR18" s="925"/>
      <c r="AS18" s="925"/>
      <c r="AT18" s="925"/>
      <c r="AU18" s="925"/>
      <c r="AV18" s="925"/>
      <c r="AW18" s="925"/>
    </row>
    <row r="19" spans="1:49">
      <c r="A19" s="814" t="s">
        <v>86</v>
      </c>
      <c r="B19" s="919"/>
      <c r="C19" s="653"/>
      <c r="D19" s="919"/>
      <c r="E19" s="653"/>
      <c r="F19" s="919"/>
      <c r="G19" s="653"/>
      <c r="H19" s="919"/>
      <c r="I19" s="918"/>
      <c r="J19" s="653"/>
      <c r="K19" s="918"/>
      <c r="L19" s="918"/>
      <c r="M19" s="1199"/>
      <c r="N19" s="653"/>
      <c r="O19" s="919"/>
      <c r="P19" s="653"/>
      <c r="Q19" s="919"/>
      <c r="R19" s="653"/>
      <c r="S19" s="919"/>
      <c r="T19" s="653"/>
      <c r="U19" s="918"/>
      <c r="V19" s="918"/>
      <c r="W19" s="918"/>
      <c r="X19" s="918"/>
      <c r="Y19" s="918"/>
      <c r="Z19" s="918"/>
      <c r="AA19" s="939"/>
      <c r="AB19" s="918"/>
      <c r="AC19" s="918"/>
      <c r="AD19" s="918"/>
      <c r="AE19" s="918"/>
      <c r="AF19" s="918"/>
      <c r="AG19" s="918"/>
      <c r="AH19" s="918"/>
      <c r="AI19" s="918"/>
      <c r="AJ19" s="918"/>
      <c r="AK19" s="918"/>
      <c r="AL19" s="918"/>
      <c r="AM19" s="918"/>
      <c r="AN19" s="918"/>
      <c r="AO19" s="918"/>
      <c r="AP19" s="918"/>
      <c r="AQ19" s="918"/>
      <c r="AR19" s="925"/>
      <c r="AS19" s="925"/>
      <c r="AT19" s="925"/>
      <c r="AU19" s="925"/>
      <c r="AV19" s="925"/>
      <c r="AW19" s="925"/>
    </row>
    <row r="20" spans="1:49">
      <c r="A20" s="814" t="s">
        <v>87</v>
      </c>
      <c r="B20" s="919" t="s">
        <v>14</v>
      </c>
      <c r="C20" s="2047">
        <v>0</v>
      </c>
      <c r="D20" s="656"/>
      <c r="E20" s="2047">
        <v>0</v>
      </c>
      <c r="F20" s="656"/>
      <c r="G20" s="654">
        <f>'Exhibit G State'!AD17</f>
        <v>0</v>
      </c>
      <c r="H20" s="656"/>
      <c r="I20" s="965">
        <f>ROUND(SUM(G20)-SUM(C20),1)</f>
        <v>0</v>
      </c>
      <c r="J20" s="654"/>
      <c r="K20" s="965">
        <v>0</v>
      </c>
      <c r="L20" s="965"/>
      <c r="M20" s="1199"/>
      <c r="N20" s="2047">
        <v>0</v>
      </c>
      <c r="O20" s="887"/>
      <c r="P20" s="2047">
        <v>0</v>
      </c>
      <c r="Q20" s="656"/>
      <c r="R20" s="654">
        <v>0</v>
      </c>
      <c r="S20" s="656"/>
      <c r="T20" s="965">
        <f>ROUND(SUM(R20)-SUM(N20),1)</f>
        <v>0</v>
      </c>
      <c r="U20" s="918"/>
      <c r="V20" s="965">
        <v>0</v>
      </c>
      <c r="W20" s="963"/>
      <c r="X20" s="966"/>
      <c r="Y20" s="963"/>
      <c r="Z20" s="964"/>
      <c r="AA20" s="963"/>
      <c r="AB20" s="965"/>
      <c r="AC20" s="918"/>
      <c r="AD20" s="918"/>
      <c r="AE20" s="918"/>
      <c r="AF20" s="918"/>
      <c r="AG20" s="918"/>
      <c r="AH20" s="918"/>
      <c r="AI20" s="918"/>
      <c r="AJ20" s="918"/>
      <c r="AK20" s="918"/>
      <c r="AL20" s="918"/>
      <c r="AM20" s="918"/>
      <c r="AN20" s="918"/>
      <c r="AO20" s="918"/>
      <c r="AP20" s="918"/>
      <c r="AQ20" s="918"/>
      <c r="AR20" s="925"/>
      <c r="AS20" s="925"/>
      <c r="AT20" s="925"/>
      <c r="AU20" s="925"/>
      <c r="AV20" s="925"/>
      <c r="AW20" s="925"/>
    </row>
    <row r="21" spans="1:49">
      <c r="A21" s="814" t="s">
        <v>88</v>
      </c>
      <c r="B21" s="918" t="s">
        <v>14</v>
      </c>
      <c r="C21" s="1116">
        <v>0</v>
      </c>
      <c r="D21" s="1523"/>
      <c r="E21" s="1116">
        <v>0</v>
      </c>
      <c r="F21" s="639"/>
      <c r="G21" s="639">
        <f>'Exhibit G State'!AD28</f>
        <v>187.7</v>
      </c>
      <c r="H21" s="639"/>
      <c r="I21" s="1523">
        <v>0</v>
      </c>
      <c r="J21" s="639"/>
      <c r="K21" s="937">
        <v>0</v>
      </c>
      <c r="L21" s="937"/>
      <c r="M21" s="1199"/>
      <c r="N21" s="1116">
        <v>0</v>
      </c>
      <c r="O21" s="889"/>
      <c r="P21" s="1116">
        <v>0</v>
      </c>
      <c r="Q21" s="639"/>
      <c r="R21" s="639">
        <v>0</v>
      </c>
      <c r="S21" s="639"/>
      <c r="T21" s="1523">
        <f t="shared" ref="T21:T25" si="0">ROUND(SUM(R21)-SUM(N21),1)</f>
        <v>0</v>
      </c>
      <c r="U21" s="918"/>
      <c r="V21" s="937">
        <v>0</v>
      </c>
      <c r="W21" s="937"/>
      <c r="X21" s="966"/>
      <c r="Y21" s="937"/>
      <c r="Z21" s="937"/>
      <c r="AA21" s="937"/>
      <c r="AB21" s="937"/>
      <c r="AC21" s="937"/>
      <c r="AD21" s="937"/>
      <c r="AE21" s="918"/>
      <c r="AF21" s="918"/>
      <c r="AG21" s="918"/>
      <c r="AH21" s="918"/>
      <c r="AI21" s="918"/>
      <c r="AJ21" s="918"/>
      <c r="AK21" s="918"/>
      <c r="AL21" s="918"/>
      <c r="AM21" s="918"/>
      <c r="AN21" s="918"/>
      <c r="AO21" s="918"/>
      <c r="AP21" s="918"/>
      <c r="AQ21" s="918"/>
      <c r="AR21" s="925"/>
      <c r="AS21" s="925"/>
      <c r="AT21" s="925"/>
      <c r="AU21" s="925"/>
      <c r="AV21" s="925"/>
      <c r="AW21" s="925"/>
    </row>
    <row r="22" spans="1:49">
      <c r="A22" s="814" t="s">
        <v>89</v>
      </c>
      <c r="B22" s="919" t="s">
        <v>14</v>
      </c>
      <c r="C22" s="1116">
        <v>0</v>
      </c>
      <c r="D22" s="676"/>
      <c r="E22" s="1116">
        <v>0</v>
      </c>
      <c r="F22" s="676"/>
      <c r="G22" s="639">
        <f>'Exhibit G State'!AD35</f>
        <v>198.9</v>
      </c>
      <c r="H22" s="676"/>
      <c r="I22" s="1523">
        <v>0</v>
      </c>
      <c r="J22" s="639"/>
      <c r="K22" s="937">
        <v>0</v>
      </c>
      <c r="L22" s="937"/>
      <c r="M22" s="1199"/>
      <c r="N22" s="1116">
        <v>0</v>
      </c>
      <c r="O22" s="678"/>
      <c r="P22" s="1116">
        <v>0</v>
      </c>
      <c r="Q22" s="676"/>
      <c r="R22" s="926">
        <v>0</v>
      </c>
      <c r="S22" s="676"/>
      <c r="T22" s="1523">
        <f t="shared" si="0"/>
        <v>0</v>
      </c>
      <c r="U22" s="918"/>
      <c r="V22" s="937">
        <v>0</v>
      </c>
      <c r="W22" s="938"/>
      <c r="X22" s="966"/>
      <c r="Y22" s="938"/>
      <c r="Z22" s="937"/>
      <c r="AA22" s="938"/>
      <c r="AB22" s="937"/>
      <c r="AC22" s="938"/>
      <c r="AD22" s="937"/>
      <c r="AE22" s="918"/>
      <c r="AF22" s="939"/>
      <c r="AG22" s="918"/>
      <c r="AH22" s="939"/>
      <c r="AI22" s="918"/>
      <c r="AJ22" s="918"/>
      <c r="AK22" s="939"/>
      <c r="AL22" s="918"/>
      <c r="AM22" s="918"/>
      <c r="AN22" s="939"/>
      <c r="AO22" s="203"/>
      <c r="AP22" s="939"/>
      <c r="AQ22" s="918"/>
      <c r="AR22" s="925"/>
      <c r="AS22" s="925"/>
      <c r="AT22" s="925"/>
      <c r="AU22" s="925"/>
      <c r="AV22" s="925"/>
      <c r="AW22" s="925"/>
    </row>
    <row r="23" spans="1:49" ht="15" customHeight="1">
      <c r="A23" s="814" t="s">
        <v>19</v>
      </c>
      <c r="B23" s="918" t="s">
        <v>14</v>
      </c>
      <c r="C23" s="1116">
        <v>0</v>
      </c>
      <c r="D23" s="936"/>
      <c r="E23" s="1116">
        <v>0</v>
      </c>
      <c r="F23" s="936"/>
      <c r="G23" s="639">
        <f>'Exhibit G State'!AD80</f>
        <v>1319.2</v>
      </c>
      <c r="H23" s="639"/>
      <c r="I23" s="1523">
        <v>0</v>
      </c>
      <c r="J23" s="639"/>
      <c r="K23" s="937">
        <v>0</v>
      </c>
      <c r="L23" s="937"/>
      <c r="M23" s="1199"/>
      <c r="N23" s="1116">
        <v>0</v>
      </c>
      <c r="O23" s="1966"/>
      <c r="P23" s="1116">
        <v>0</v>
      </c>
      <c r="Q23" s="936"/>
      <c r="R23" s="680">
        <f>'Exhibit G Federal'!AD52</f>
        <v>13.3</v>
      </c>
      <c r="S23" s="639"/>
      <c r="T23" s="1523">
        <v>0</v>
      </c>
      <c r="U23" s="918"/>
      <c r="V23" s="937">
        <v>0</v>
      </c>
      <c r="W23" s="937"/>
      <c r="X23" s="966"/>
      <c r="Y23" s="937"/>
      <c r="Z23" s="937"/>
      <c r="AA23" s="937"/>
      <c r="AB23" s="937"/>
      <c r="AC23" s="937"/>
      <c r="AD23" s="937"/>
      <c r="AE23" s="918"/>
      <c r="AF23" s="918"/>
      <c r="AG23" s="918"/>
      <c r="AH23" s="918"/>
      <c r="AI23" s="918"/>
      <c r="AJ23" s="918"/>
      <c r="AK23" s="918"/>
      <c r="AL23" s="918"/>
      <c r="AM23" s="918"/>
      <c r="AN23" s="918"/>
      <c r="AO23" s="918"/>
      <c r="AP23" s="918"/>
      <c r="AQ23" s="918"/>
      <c r="AR23" s="925"/>
      <c r="AS23" s="925"/>
      <c r="AT23" s="925"/>
      <c r="AU23" s="925"/>
      <c r="AV23" s="925"/>
      <c r="AW23" s="925"/>
    </row>
    <row r="24" spans="1:49" ht="15" customHeight="1">
      <c r="A24" s="814" t="s">
        <v>20</v>
      </c>
      <c r="B24" s="918" t="s">
        <v>14</v>
      </c>
      <c r="C24" s="1116">
        <v>0</v>
      </c>
      <c r="D24" s="1523"/>
      <c r="E24" s="1116">
        <v>0</v>
      </c>
      <c r="F24" s="639"/>
      <c r="G24" s="680">
        <f>'Exhibit G State'!AD82</f>
        <v>0</v>
      </c>
      <c r="H24" s="639"/>
      <c r="I24" s="1523">
        <f t="shared" ref="I24" si="1">ROUND(SUM(G24)-SUM(C24),1)</f>
        <v>0</v>
      </c>
      <c r="J24" s="639"/>
      <c r="K24" s="937">
        <v>0</v>
      </c>
      <c r="L24" s="937"/>
      <c r="M24" s="1199"/>
      <c r="N24" s="1116">
        <v>0</v>
      </c>
      <c r="O24" s="889"/>
      <c r="P24" s="1116">
        <v>0</v>
      </c>
      <c r="Q24" s="639"/>
      <c r="R24" s="680">
        <f>'Exhibit G Federal'!AD54</f>
        <v>7158.4</v>
      </c>
      <c r="S24" s="639"/>
      <c r="T24" s="1523">
        <v>0</v>
      </c>
      <c r="U24" s="918"/>
      <c r="V24" s="937">
        <v>0</v>
      </c>
      <c r="W24" s="937"/>
      <c r="X24" s="966"/>
      <c r="Y24" s="937"/>
      <c r="Z24" s="937"/>
      <c r="AA24" s="937"/>
      <c r="AB24" s="937"/>
      <c r="AC24" s="937"/>
      <c r="AD24" s="940"/>
      <c r="AE24" s="941"/>
      <c r="AF24" s="918"/>
      <c r="AG24" s="941"/>
      <c r="AH24" s="918"/>
      <c r="AI24" s="941"/>
      <c r="AJ24" s="942"/>
      <c r="AK24" s="918"/>
      <c r="AL24" s="918"/>
      <c r="AM24" s="918"/>
      <c r="AN24" s="918"/>
      <c r="AO24" s="918"/>
      <c r="AP24" s="918"/>
      <c r="AQ24" s="918"/>
      <c r="AR24" s="925"/>
      <c r="AS24" s="925"/>
      <c r="AT24" s="925"/>
      <c r="AU24" s="925"/>
      <c r="AV24" s="925"/>
      <c r="AW24" s="925"/>
    </row>
    <row r="25" spans="1:49">
      <c r="A25" s="814" t="s">
        <v>46</v>
      </c>
      <c r="B25" s="942" t="s">
        <v>14</v>
      </c>
      <c r="C25" s="1116">
        <v>0</v>
      </c>
      <c r="D25" s="937"/>
      <c r="E25" s="1116">
        <v>0</v>
      </c>
      <c r="F25" s="937"/>
      <c r="G25" s="1026">
        <f>'Exhibit G State'!AD111</f>
        <v>263.5</v>
      </c>
      <c r="H25" s="639"/>
      <c r="I25" s="1523">
        <v>0</v>
      </c>
      <c r="J25" s="937"/>
      <c r="K25" s="937">
        <v>0</v>
      </c>
      <c r="L25" s="937"/>
      <c r="M25" s="1200"/>
      <c r="N25" s="1116">
        <v>0</v>
      </c>
      <c r="O25" s="889"/>
      <c r="P25" s="1116">
        <v>0</v>
      </c>
      <c r="Q25" s="937"/>
      <c r="R25" s="1026">
        <f>+'Exhibit G Federal'!AD85</f>
        <v>0</v>
      </c>
      <c r="S25" s="639"/>
      <c r="T25" s="1523">
        <f t="shared" si="0"/>
        <v>0</v>
      </c>
      <c r="U25" s="942"/>
      <c r="V25" s="937">
        <v>0</v>
      </c>
      <c r="W25" s="937"/>
      <c r="X25" s="966"/>
      <c r="Y25" s="937"/>
      <c r="Z25" s="938"/>
      <c r="AA25" s="937"/>
      <c r="AB25" s="937"/>
      <c r="AC25" s="937"/>
      <c r="AD25" s="940"/>
      <c r="AE25" s="941"/>
      <c r="AF25" s="918"/>
      <c r="AG25" s="941"/>
      <c r="AH25" s="918"/>
      <c r="AI25" s="941"/>
      <c r="AJ25" s="942"/>
      <c r="AK25" s="918"/>
      <c r="AL25" s="918"/>
      <c r="AM25" s="918"/>
      <c r="AN25" s="918"/>
      <c r="AO25" s="918"/>
      <c r="AP25" s="918"/>
      <c r="AQ25" s="918"/>
      <c r="AR25" s="925"/>
      <c r="AS25" s="925"/>
      <c r="AT25" s="925"/>
      <c r="AU25" s="925"/>
      <c r="AV25" s="925"/>
      <c r="AW25" s="925"/>
    </row>
    <row r="26" spans="1:49" ht="18" customHeight="1">
      <c r="A26" s="173" t="s">
        <v>107</v>
      </c>
      <c r="B26" s="151" t="s">
        <v>14</v>
      </c>
      <c r="C26" s="215">
        <f>ROUND(SUM(C20:C25),1)</f>
        <v>0</v>
      </c>
      <c r="D26" s="916"/>
      <c r="E26" s="215">
        <f>ROUND(SUM(E20:E25),1)</f>
        <v>0</v>
      </c>
      <c r="F26" s="916"/>
      <c r="G26" s="215">
        <f>ROUND(SUM(G20:G25),1)</f>
        <v>1969.3</v>
      </c>
      <c r="H26" s="916"/>
      <c r="I26" s="1534">
        <f>ROUND(SUM(I20:I25),1)</f>
        <v>0</v>
      </c>
      <c r="J26" s="76"/>
      <c r="K26" s="1534">
        <f>ROUND(SUM(K20:K25),1)</f>
        <v>0</v>
      </c>
      <c r="L26" s="76"/>
      <c r="M26" s="1199"/>
      <c r="N26" s="215">
        <f>ROUND(SUM(N20:N25),1)</f>
        <v>0</v>
      </c>
      <c r="O26" s="916"/>
      <c r="P26" s="215">
        <f>ROUND(SUM(P20:P25),1)</f>
        <v>0</v>
      </c>
      <c r="Q26" s="916"/>
      <c r="R26" s="294">
        <f>ROUND(SUM(R20:R25),1)</f>
        <v>7171.7</v>
      </c>
      <c r="S26" s="916"/>
      <c r="T26" s="294">
        <f>ROUND(SUM(T20:T25),1)</f>
        <v>0</v>
      </c>
      <c r="U26" s="151"/>
      <c r="V26" s="1534">
        <f>ROUND(SUM(V20:V25),1)</f>
        <v>0</v>
      </c>
      <c r="W26" s="76"/>
      <c r="X26" s="76"/>
      <c r="Y26" s="76"/>
      <c r="Z26" s="76"/>
      <c r="AA26" s="76"/>
      <c r="AB26" s="76"/>
      <c r="AC26" s="76"/>
      <c r="AD26" s="76"/>
      <c r="AE26" s="151"/>
      <c r="AF26" s="151"/>
      <c r="AG26" s="151"/>
      <c r="AH26" s="151"/>
      <c r="AI26" s="151"/>
      <c r="AJ26" s="151"/>
      <c r="AK26" s="151"/>
      <c r="AL26" s="151"/>
      <c r="AM26" s="151"/>
      <c r="AN26" s="151"/>
      <c r="AO26" s="151"/>
      <c r="AP26" s="151"/>
      <c r="AQ26" s="151"/>
      <c r="AR26" s="925"/>
      <c r="AS26" s="925"/>
      <c r="AT26" s="925"/>
      <c r="AU26" s="925"/>
      <c r="AV26" s="925"/>
      <c r="AW26" s="925"/>
    </row>
    <row r="27" spans="1:49">
      <c r="A27" s="684"/>
      <c r="B27" s="918"/>
      <c r="C27" s="682"/>
      <c r="D27" s="639"/>
      <c r="E27" s="682"/>
      <c r="F27" s="639"/>
      <c r="G27" s="682"/>
      <c r="H27" s="639"/>
      <c r="I27" s="937"/>
      <c r="J27" s="937"/>
      <c r="K27" s="937"/>
      <c r="L27" s="937"/>
      <c r="M27" s="1199"/>
      <c r="N27" s="682"/>
      <c r="O27" s="1523"/>
      <c r="P27" s="682"/>
      <c r="Q27" s="639"/>
      <c r="R27" s="682"/>
      <c r="S27" s="639"/>
      <c r="T27" s="937"/>
      <c r="U27" s="918"/>
      <c r="V27" s="937"/>
      <c r="W27" s="937"/>
      <c r="X27" s="937"/>
      <c r="Y27" s="937"/>
      <c r="Z27" s="937"/>
      <c r="AA27" s="937"/>
      <c r="AB27" s="937"/>
      <c r="AC27" s="937"/>
      <c r="AD27" s="937"/>
      <c r="AE27" s="918"/>
      <c r="AF27" s="918"/>
      <c r="AG27" s="918"/>
      <c r="AH27" s="918"/>
      <c r="AI27" s="918"/>
      <c r="AJ27" s="918"/>
      <c r="AK27" s="918"/>
      <c r="AL27" s="918"/>
      <c r="AM27" s="918"/>
      <c r="AN27" s="918"/>
      <c r="AO27" s="918"/>
      <c r="AP27" s="918"/>
      <c r="AQ27" s="918"/>
      <c r="AR27" s="925"/>
      <c r="AS27" s="925"/>
      <c r="AT27" s="925"/>
      <c r="AU27" s="925"/>
      <c r="AV27" s="925"/>
      <c r="AW27" s="925"/>
    </row>
    <row r="28" spans="1:49">
      <c r="A28" s="29" t="s">
        <v>22</v>
      </c>
      <c r="B28" s="918"/>
      <c r="C28" s="639"/>
      <c r="D28" s="639"/>
      <c r="E28" s="1523"/>
      <c r="F28" s="639"/>
      <c r="G28" s="639"/>
      <c r="H28" s="639"/>
      <c r="I28" s="937"/>
      <c r="J28" s="937"/>
      <c r="K28" s="937"/>
      <c r="L28" s="937"/>
      <c r="M28" s="1199"/>
      <c r="N28" s="1523"/>
      <c r="O28" s="1523"/>
      <c r="P28" s="1523"/>
      <c r="Q28" s="639"/>
      <c r="R28" s="639"/>
      <c r="S28" s="639"/>
      <c r="T28" s="639"/>
      <c r="U28" s="918"/>
      <c r="V28" s="937"/>
      <c r="W28" s="937"/>
      <c r="X28" s="937"/>
      <c r="Y28" s="937"/>
      <c r="Z28" s="937"/>
      <c r="AA28" s="937"/>
      <c r="AB28" s="937"/>
      <c r="AC28" s="937"/>
      <c r="AD28" s="937"/>
      <c r="AE28" s="918"/>
      <c r="AF28" s="918"/>
      <c r="AG28" s="918"/>
      <c r="AH28" s="918"/>
      <c r="AI28" s="918"/>
      <c r="AJ28" s="918"/>
      <c r="AK28" s="918"/>
      <c r="AL28" s="918"/>
      <c r="AM28" s="918"/>
      <c r="AN28" s="918"/>
      <c r="AO28" s="918"/>
      <c r="AP28" s="918"/>
      <c r="AQ28" s="918"/>
      <c r="AR28" s="925"/>
      <c r="AS28" s="925"/>
      <c r="AT28" s="925"/>
      <c r="AU28" s="925"/>
      <c r="AV28" s="925"/>
      <c r="AW28" s="925"/>
    </row>
    <row r="29" spans="1:49">
      <c r="A29" s="814" t="s">
        <v>92</v>
      </c>
      <c r="B29" s="939" t="s">
        <v>14</v>
      </c>
      <c r="C29" s="1116">
        <v>0</v>
      </c>
      <c r="D29" s="1523"/>
      <c r="E29" s="1116">
        <v>0</v>
      </c>
      <c r="F29" s="639"/>
      <c r="G29" s="676">
        <f>'Exhibit G State'!AD98</f>
        <v>654.1</v>
      </c>
      <c r="H29" s="639"/>
      <c r="I29" s="1523">
        <v>0</v>
      </c>
      <c r="J29" s="937"/>
      <c r="K29" s="937">
        <v>0</v>
      </c>
      <c r="L29" s="937"/>
      <c r="M29" s="1199"/>
      <c r="N29" s="1116">
        <v>0</v>
      </c>
      <c r="O29" s="1523"/>
      <c r="P29" s="1116">
        <v>0</v>
      </c>
      <c r="Q29" s="639"/>
      <c r="R29" s="676">
        <f>'Exhibit G Federal'!AD70</f>
        <v>4442.1000000000004</v>
      </c>
      <c r="S29" s="639"/>
      <c r="T29" s="1523">
        <v>0</v>
      </c>
      <c r="U29" s="918"/>
      <c r="V29" s="937">
        <v>0</v>
      </c>
      <c r="W29" s="937"/>
      <c r="X29" s="966"/>
      <c r="Y29" s="937"/>
      <c r="Z29" s="937"/>
      <c r="AA29" s="937"/>
      <c r="AB29" s="937"/>
      <c r="AC29" s="937"/>
      <c r="AD29" s="940"/>
      <c r="AE29" s="941"/>
      <c r="AF29" s="918"/>
      <c r="AG29" s="941"/>
      <c r="AH29" s="918"/>
      <c r="AI29" s="941"/>
      <c r="AJ29" s="942"/>
      <c r="AK29" s="918"/>
      <c r="AL29" s="918"/>
      <c r="AM29" s="918"/>
      <c r="AN29" s="918"/>
      <c r="AO29" s="918"/>
      <c r="AP29" s="918"/>
      <c r="AQ29" s="918"/>
      <c r="AR29" s="925"/>
      <c r="AS29" s="925"/>
      <c r="AT29" s="925"/>
      <c r="AU29" s="925"/>
      <c r="AV29" s="925"/>
      <c r="AW29" s="925"/>
    </row>
    <row r="30" spans="1:49">
      <c r="A30" s="814" t="s">
        <v>93</v>
      </c>
      <c r="B30" s="939" t="s">
        <v>14</v>
      </c>
      <c r="C30" s="1116">
        <v>0</v>
      </c>
      <c r="D30" s="1523"/>
      <c r="E30" s="1116">
        <v>0</v>
      </c>
      <c r="F30" s="639"/>
      <c r="G30" s="676">
        <f>'Exhibit G State'!AD100+'Exhibit G State'!AD101</f>
        <v>625.20000000000005</v>
      </c>
      <c r="H30" s="639"/>
      <c r="I30" s="1523">
        <v>0</v>
      </c>
      <c r="J30" s="937"/>
      <c r="K30" s="937">
        <v>0</v>
      </c>
      <c r="L30" s="937"/>
      <c r="M30" s="1199"/>
      <c r="N30" s="1116">
        <v>0</v>
      </c>
      <c r="O30" s="1523"/>
      <c r="P30" s="1116">
        <v>0</v>
      </c>
      <c r="Q30" s="639"/>
      <c r="R30" s="676">
        <f>'Exhibit G Federal'!AD72+'Exhibit G Federal'!AD73</f>
        <v>207.9</v>
      </c>
      <c r="S30" s="639"/>
      <c r="T30" s="1523">
        <v>0</v>
      </c>
      <c r="U30" s="918"/>
      <c r="V30" s="937">
        <v>0</v>
      </c>
      <c r="W30" s="937"/>
      <c r="X30" s="966"/>
      <c r="Y30" s="937"/>
      <c r="Z30" s="937"/>
      <c r="AA30" s="937"/>
      <c r="AB30" s="937"/>
      <c r="AC30" s="937"/>
      <c r="AD30" s="938"/>
      <c r="AE30" s="939"/>
      <c r="AF30" s="918"/>
      <c r="AG30" s="939"/>
      <c r="AH30" s="918"/>
      <c r="AI30" s="941"/>
      <c r="AJ30" s="918"/>
      <c r="AK30" s="918"/>
      <c r="AL30" s="941"/>
      <c r="AM30" s="941"/>
      <c r="AN30" s="918"/>
      <c r="AO30" s="941"/>
      <c r="AP30" s="918"/>
      <c r="AQ30" s="941"/>
      <c r="AR30" s="925"/>
      <c r="AS30" s="925"/>
      <c r="AT30" s="925"/>
      <c r="AU30" s="925"/>
      <c r="AV30" s="925"/>
      <c r="AW30" s="925"/>
    </row>
    <row r="31" spans="1:49">
      <c r="A31" s="814" t="s">
        <v>68</v>
      </c>
      <c r="B31" s="939" t="s">
        <v>14</v>
      </c>
      <c r="C31" s="1116">
        <v>0</v>
      </c>
      <c r="D31" s="1523"/>
      <c r="E31" s="1116">
        <v>0</v>
      </c>
      <c r="F31" s="639"/>
      <c r="G31" s="676">
        <f>'Exhibit G State'!AD102</f>
        <v>59.8</v>
      </c>
      <c r="H31" s="639"/>
      <c r="I31" s="1523">
        <v>0</v>
      </c>
      <c r="J31" s="937"/>
      <c r="K31" s="937">
        <v>0</v>
      </c>
      <c r="L31" s="937"/>
      <c r="M31" s="1199"/>
      <c r="N31" s="1116">
        <v>0</v>
      </c>
      <c r="O31" s="1523"/>
      <c r="P31" s="1116">
        <v>0</v>
      </c>
      <c r="Q31" s="639"/>
      <c r="R31" s="676">
        <f>'Exhibit G Federal'!AD74</f>
        <v>25.4</v>
      </c>
      <c r="S31" s="639"/>
      <c r="T31" s="1523">
        <v>0</v>
      </c>
      <c r="U31" s="918"/>
      <c r="V31" s="937">
        <v>0</v>
      </c>
      <c r="W31" s="937"/>
      <c r="X31" s="966"/>
      <c r="Y31" s="937"/>
      <c r="Z31" s="937"/>
      <c r="AA31" s="937"/>
      <c r="AB31" s="937"/>
      <c r="AC31" s="937"/>
      <c r="AD31" s="940"/>
      <c r="AE31" s="941"/>
      <c r="AF31" s="918"/>
      <c r="AG31" s="941"/>
      <c r="AH31" s="918"/>
      <c r="AI31" s="941"/>
      <c r="AJ31" s="942"/>
      <c r="AK31" s="918"/>
      <c r="AL31" s="941"/>
      <c r="AM31" s="941"/>
      <c r="AN31" s="918"/>
      <c r="AO31" s="941"/>
      <c r="AP31" s="918"/>
      <c r="AQ31" s="941"/>
      <c r="AR31" s="925"/>
      <c r="AS31" s="925"/>
      <c r="AT31" s="925"/>
      <c r="AU31" s="925"/>
      <c r="AV31" s="925"/>
      <c r="AW31" s="925"/>
    </row>
    <row r="32" spans="1:49">
      <c r="A32" s="814" t="s">
        <v>94</v>
      </c>
      <c r="B32" s="939"/>
      <c r="C32" s="1116">
        <v>0</v>
      </c>
      <c r="D32" s="1523"/>
      <c r="E32" s="1116">
        <v>0</v>
      </c>
      <c r="F32" s="1523"/>
      <c r="G32" s="676">
        <v>0</v>
      </c>
      <c r="H32" s="1523"/>
      <c r="I32" s="1523">
        <f>ROUND(SUM(G32)-SUM(C32),1)</f>
        <v>0</v>
      </c>
      <c r="J32" s="937"/>
      <c r="K32" s="937">
        <v>0</v>
      </c>
      <c r="L32" s="937"/>
      <c r="M32" s="1199"/>
      <c r="N32" s="1116">
        <v>0</v>
      </c>
      <c r="O32" s="1523"/>
      <c r="P32" s="1116">
        <v>0</v>
      </c>
      <c r="Q32" s="1523"/>
      <c r="R32" s="676">
        <f>'Exhibit G Federal'!AD76</f>
        <v>0</v>
      </c>
      <c r="S32" s="1523"/>
      <c r="T32" s="1523">
        <f>ROUND(SUM(R32)-SUM(N32),1)</f>
        <v>0</v>
      </c>
      <c r="U32" s="918"/>
      <c r="V32" s="937">
        <v>0</v>
      </c>
      <c r="W32" s="937"/>
      <c r="X32" s="966"/>
      <c r="Y32" s="937"/>
      <c r="Z32" s="937"/>
      <c r="AA32" s="937"/>
      <c r="AB32" s="937"/>
      <c r="AC32" s="937"/>
      <c r="AD32" s="940"/>
      <c r="AE32" s="941"/>
      <c r="AF32" s="918"/>
      <c r="AG32" s="941"/>
      <c r="AH32" s="918"/>
      <c r="AI32" s="941"/>
      <c r="AJ32" s="942"/>
      <c r="AK32" s="918"/>
      <c r="AL32" s="941"/>
      <c r="AM32" s="941"/>
      <c r="AN32" s="918"/>
      <c r="AO32" s="941"/>
      <c r="AP32" s="918"/>
      <c r="AQ32" s="941"/>
      <c r="AR32" s="925"/>
      <c r="AS32" s="925"/>
      <c r="AT32" s="925"/>
      <c r="AU32" s="925"/>
      <c r="AV32" s="925"/>
      <c r="AW32" s="925"/>
    </row>
    <row r="33" spans="1:49">
      <c r="A33" s="814" t="s">
        <v>41</v>
      </c>
      <c r="B33" s="942" t="s">
        <v>14</v>
      </c>
      <c r="C33" s="1116">
        <v>0</v>
      </c>
      <c r="D33" s="1523"/>
      <c r="E33" s="1116">
        <v>0</v>
      </c>
      <c r="F33" s="639"/>
      <c r="G33" s="655">
        <f>'Exhibit G State'!AD103</f>
        <v>0</v>
      </c>
      <c r="H33" s="639"/>
      <c r="I33" s="1523">
        <f t="shared" ref="I33" si="2">ROUND(SUM(G33)-SUM(C33),1)</f>
        <v>0</v>
      </c>
      <c r="J33" s="937"/>
      <c r="K33" s="937">
        <v>0</v>
      </c>
      <c r="L33" s="937"/>
      <c r="M33" s="1200"/>
      <c r="N33" s="1116">
        <v>0</v>
      </c>
      <c r="O33" s="1523"/>
      <c r="P33" s="1116">
        <v>0</v>
      </c>
      <c r="Q33" s="639"/>
      <c r="R33" s="676">
        <f>'Exhibit G Federal'!AD77</f>
        <v>0</v>
      </c>
      <c r="S33" s="639"/>
      <c r="T33" s="1523">
        <f t="shared" ref="T33" si="3">ROUND(SUM(R33)-SUM(N33),1)</f>
        <v>0</v>
      </c>
      <c r="U33" s="942"/>
      <c r="V33" s="937">
        <v>0</v>
      </c>
      <c r="W33" s="937"/>
      <c r="X33" s="966"/>
      <c r="Y33" s="937"/>
      <c r="Z33" s="937"/>
      <c r="AA33" s="937"/>
      <c r="AB33" s="937"/>
      <c r="AC33" s="937"/>
      <c r="AD33" s="940"/>
      <c r="AE33" s="941"/>
      <c r="AF33" s="918"/>
      <c r="AG33" s="941"/>
      <c r="AH33" s="918"/>
      <c r="AI33" s="941"/>
      <c r="AJ33" s="942"/>
      <c r="AK33" s="918"/>
      <c r="AL33" s="918"/>
      <c r="AM33" s="918"/>
      <c r="AN33" s="918"/>
      <c r="AO33" s="918"/>
      <c r="AP33" s="918"/>
      <c r="AQ33" s="918"/>
      <c r="AR33" s="925"/>
      <c r="AS33" s="925"/>
      <c r="AT33" s="925"/>
      <c r="AU33" s="925"/>
      <c r="AV33" s="925"/>
      <c r="AW33" s="925"/>
    </row>
    <row r="34" spans="1:49">
      <c r="A34" s="814" t="s">
        <v>97</v>
      </c>
      <c r="B34" s="942" t="s">
        <v>14</v>
      </c>
      <c r="C34" s="1116">
        <v>0</v>
      </c>
      <c r="D34" s="1523"/>
      <c r="E34" s="1116">
        <v>0</v>
      </c>
      <c r="F34" s="639"/>
      <c r="G34" s="680">
        <f>-'Exhibit G State'!AD112</f>
        <v>9.5</v>
      </c>
      <c r="H34" s="639"/>
      <c r="I34" s="1523">
        <v>0</v>
      </c>
      <c r="J34" s="937"/>
      <c r="K34" s="937">
        <v>0</v>
      </c>
      <c r="L34" s="937"/>
      <c r="M34" s="1200"/>
      <c r="N34" s="1116">
        <v>0</v>
      </c>
      <c r="O34" s="1523"/>
      <c r="P34" s="1116">
        <v>0</v>
      </c>
      <c r="Q34" s="639"/>
      <c r="R34" s="680">
        <f>-'Exhibit G Federal'!AD86</f>
        <v>156.4</v>
      </c>
      <c r="S34" s="639"/>
      <c r="T34" s="1523">
        <v>0</v>
      </c>
      <c r="U34" s="942"/>
      <c r="V34" s="937">
        <v>0</v>
      </c>
      <c r="W34" s="937"/>
      <c r="X34" s="966"/>
      <c r="Y34" s="937"/>
      <c r="Z34" s="938"/>
      <c r="AA34" s="937"/>
      <c r="AB34" s="937"/>
      <c r="AC34" s="937"/>
      <c r="AD34" s="940"/>
      <c r="AE34" s="941"/>
      <c r="AF34" s="918"/>
      <c r="AG34" s="941"/>
      <c r="AH34" s="918"/>
      <c r="AI34" s="941"/>
      <c r="AJ34" s="942"/>
      <c r="AK34" s="918"/>
      <c r="AL34" s="918"/>
      <c r="AM34" s="918"/>
      <c r="AN34" s="918"/>
      <c r="AO34" s="918"/>
      <c r="AP34" s="918"/>
      <c r="AQ34" s="918"/>
      <c r="AR34" s="925"/>
      <c r="AS34" s="925"/>
      <c r="AT34" s="925"/>
      <c r="AU34" s="925"/>
      <c r="AV34" s="925"/>
      <c r="AW34" s="925"/>
    </row>
    <row r="35" spans="1:49" ht="18" customHeight="1">
      <c r="A35" s="173" t="s">
        <v>116</v>
      </c>
      <c r="B35" s="151" t="s">
        <v>14</v>
      </c>
      <c r="C35" s="294">
        <f>ROUND(SUM(C29:C34),1)</f>
        <v>0</v>
      </c>
      <c r="D35" s="916"/>
      <c r="E35" s="294">
        <f>ROUND(SUM(E29:E34),1)</f>
        <v>0</v>
      </c>
      <c r="F35" s="916"/>
      <c r="G35" s="294">
        <f>ROUND(SUM(G29:G34),1)</f>
        <v>1348.6</v>
      </c>
      <c r="H35" s="916"/>
      <c r="I35" s="294">
        <f>ROUND(SUM(I29:I34),1)</f>
        <v>0</v>
      </c>
      <c r="J35" s="76"/>
      <c r="K35" s="294">
        <f>ROUND(SUM(K29:K34),1)</f>
        <v>0</v>
      </c>
      <c r="L35" s="76"/>
      <c r="M35" s="1203"/>
      <c r="N35" s="294">
        <f>ROUND(SUM(N29:N34),1)</f>
        <v>0</v>
      </c>
      <c r="O35" s="916"/>
      <c r="P35" s="294">
        <f>ROUND(SUM(P29:P34),1)</f>
        <v>0</v>
      </c>
      <c r="Q35" s="916"/>
      <c r="R35" s="294">
        <f>ROUND(SUM(R29:R34),1)</f>
        <v>4831.8</v>
      </c>
      <c r="S35" s="916"/>
      <c r="T35" s="294">
        <f>ROUND(SUM(T29:T34),1)</f>
        <v>0</v>
      </c>
      <c r="U35" s="151"/>
      <c r="V35" s="294">
        <f>ROUND(SUM(V29:V34),1)</f>
        <v>0</v>
      </c>
      <c r="W35" s="76"/>
      <c r="X35" s="76"/>
      <c r="Y35" s="76"/>
      <c r="Z35" s="76"/>
      <c r="AA35" s="76"/>
      <c r="AB35" s="76"/>
      <c r="AC35" s="76"/>
      <c r="AD35" s="76"/>
      <c r="AE35" s="151"/>
      <c r="AF35" s="151"/>
      <c r="AG35" s="151"/>
      <c r="AH35" s="151"/>
      <c r="AI35" s="151"/>
      <c r="AJ35" s="151"/>
      <c r="AK35" s="151"/>
      <c r="AL35" s="151"/>
      <c r="AM35" s="151"/>
      <c r="AN35" s="151"/>
      <c r="AO35" s="151"/>
      <c r="AP35" s="151"/>
      <c r="AQ35" s="151"/>
      <c r="AR35" s="925"/>
      <c r="AS35" s="925"/>
      <c r="AT35" s="925"/>
      <c r="AU35" s="925"/>
      <c r="AV35" s="925"/>
      <c r="AW35" s="925"/>
    </row>
    <row r="36" spans="1:49">
      <c r="A36" s="684"/>
      <c r="B36" s="918"/>
      <c r="C36" s="682"/>
      <c r="D36" s="639"/>
      <c r="E36" s="682"/>
      <c r="F36" s="639"/>
      <c r="G36" s="682"/>
      <c r="H36" s="639"/>
      <c r="I36" s="937"/>
      <c r="J36" s="937"/>
      <c r="K36" s="937"/>
      <c r="L36" s="937"/>
      <c r="M36" s="1199"/>
      <c r="N36" s="682"/>
      <c r="O36" s="1523"/>
      <c r="P36" s="682"/>
      <c r="Q36" s="639"/>
      <c r="R36" s="682"/>
      <c r="S36" s="639"/>
      <c r="T36" s="937"/>
      <c r="U36" s="918"/>
      <c r="V36" s="937"/>
      <c r="W36" s="937"/>
      <c r="X36" s="937"/>
      <c r="Y36" s="937"/>
      <c r="Z36" s="937"/>
      <c r="AA36" s="937"/>
      <c r="AB36" s="937"/>
      <c r="AC36" s="937"/>
      <c r="AD36" s="937"/>
      <c r="AE36" s="918"/>
      <c r="AF36" s="918"/>
      <c r="AG36" s="918"/>
      <c r="AH36" s="918"/>
      <c r="AI36" s="918"/>
      <c r="AJ36" s="918"/>
      <c r="AK36" s="918"/>
      <c r="AL36" s="918"/>
      <c r="AM36" s="918"/>
      <c r="AN36" s="918"/>
      <c r="AO36" s="918"/>
      <c r="AP36" s="918"/>
      <c r="AQ36" s="918"/>
      <c r="AR36" s="925"/>
      <c r="AS36" s="925"/>
      <c r="AT36" s="925"/>
      <c r="AU36" s="925"/>
      <c r="AV36" s="925"/>
      <c r="AW36" s="925"/>
    </row>
    <row r="37" spans="1:49">
      <c r="A37" s="29" t="s">
        <v>117</v>
      </c>
      <c r="B37" s="918"/>
      <c r="C37" s="639"/>
      <c r="D37" s="639"/>
      <c r="E37" s="1523"/>
      <c r="F37" s="639"/>
      <c r="G37" s="639"/>
      <c r="H37" s="639"/>
      <c r="I37" s="937"/>
      <c r="J37" s="937"/>
      <c r="K37" s="937"/>
      <c r="L37" s="937"/>
      <c r="M37" s="1199"/>
      <c r="N37" s="1523"/>
      <c r="O37" s="1523"/>
      <c r="P37" s="1523"/>
      <c r="Q37" s="639"/>
      <c r="R37" s="639"/>
      <c r="S37" s="639"/>
      <c r="T37" s="639"/>
      <c r="U37" s="918"/>
      <c r="V37" s="937"/>
      <c r="W37" s="937"/>
      <c r="X37" s="937"/>
      <c r="Y37" s="937"/>
      <c r="Z37" s="937"/>
      <c r="AA37" s="937"/>
      <c r="AB37" s="937"/>
      <c r="AC37" s="937"/>
      <c r="AD37" s="937"/>
      <c r="AE37" s="918"/>
      <c r="AF37" s="918"/>
      <c r="AG37" s="918"/>
      <c r="AH37" s="918"/>
      <c r="AI37" s="918"/>
      <c r="AJ37" s="918"/>
      <c r="AK37" s="918"/>
      <c r="AL37" s="918"/>
      <c r="AM37" s="918"/>
      <c r="AN37" s="918"/>
      <c r="AO37" s="918"/>
      <c r="AP37" s="918"/>
      <c r="AQ37" s="918"/>
      <c r="AR37" s="925"/>
      <c r="AS37" s="925"/>
      <c r="AT37" s="925"/>
      <c r="AU37" s="925"/>
      <c r="AV37" s="925"/>
      <c r="AW37" s="925"/>
    </row>
    <row r="38" spans="1:49">
      <c r="A38" s="29" t="s">
        <v>118</v>
      </c>
      <c r="B38" s="918"/>
      <c r="C38" s="639"/>
      <c r="D38" s="639"/>
      <c r="E38" s="1523"/>
      <c r="F38" s="639"/>
      <c r="G38" s="639"/>
      <c r="H38" s="639"/>
      <c r="I38" s="937"/>
      <c r="J38" s="937"/>
      <c r="K38" s="937"/>
      <c r="L38" s="937"/>
      <c r="M38" s="1199"/>
      <c r="N38" s="1523"/>
      <c r="O38" s="1523"/>
      <c r="P38" s="1523"/>
      <c r="Q38" s="639"/>
      <c r="R38" s="639"/>
      <c r="S38" s="639"/>
      <c r="T38" s="639"/>
      <c r="U38" s="918"/>
      <c r="V38" s="937"/>
      <c r="W38" s="937"/>
      <c r="X38" s="937"/>
      <c r="Y38" s="937"/>
      <c r="Z38" s="937"/>
      <c r="AA38" s="937"/>
      <c r="AB38" s="937"/>
      <c r="AC38" s="937"/>
      <c r="AD38" s="937"/>
      <c r="AE38" s="918"/>
      <c r="AF38" s="918"/>
      <c r="AG38" s="918"/>
      <c r="AH38" s="918"/>
      <c r="AI38" s="918"/>
      <c r="AJ38" s="918"/>
      <c r="AK38" s="918"/>
      <c r="AL38" s="918"/>
      <c r="AM38" s="918"/>
      <c r="AN38" s="918"/>
      <c r="AO38" s="918"/>
      <c r="AP38" s="918"/>
      <c r="AQ38" s="918"/>
      <c r="AR38" s="925"/>
      <c r="AS38" s="925"/>
      <c r="AT38" s="925"/>
      <c r="AU38" s="925"/>
      <c r="AV38" s="925"/>
      <c r="AW38" s="925"/>
    </row>
    <row r="39" spans="1:49">
      <c r="A39" s="173" t="s">
        <v>101</v>
      </c>
      <c r="B39" s="915" t="s">
        <v>14</v>
      </c>
      <c r="C39" s="76">
        <f>ROUND(SUM(C26)-SUM(C35),1)</f>
        <v>0</v>
      </c>
      <c r="D39" s="84"/>
      <c r="E39" s="1524">
        <f>ROUND(SUM(E26)-SUM(E35),1)</f>
        <v>0</v>
      </c>
      <c r="F39" s="84"/>
      <c r="G39" s="76">
        <f>ROUND(SUM(G26)-SUM(G35),1)</f>
        <v>620.70000000000005</v>
      </c>
      <c r="H39" s="84"/>
      <c r="I39" s="76">
        <f>ROUND(SUM(I26)-SUM(I35),1)</f>
        <v>0</v>
      </c>
      <c r="J39" s="76"/>
      <c r="K39" s="937">
        <v>0</v>
      </c>
      <c r="L39" s="76"/>
      <c r="M39" s="1201"/>
      <c r="N39" s="1524">
        <f>ROUND(SUM(N26)-SUM(N35),1)</f>
        <v>0</v>
      </c>
      <c r="O39" s="84"/>
      <c r="P39" s="1524">
        <f>ROUND(SUM(P26)-SUM(P35),1)</f>
        <v>0</v>
      </c>
      <c r="Q39" s="84"/>
      <c r="R39" s="76">
        <f>ROUND(SUM(R26)-SUM(R35),1)</f>
        <v>2339.9</v>
      </c>
      <c r="S39" s="84"/>
      <c r="T39" s="76">
        <f>ROUND(SUM(T26)-SUM(T35),1)</f>
        <v>0</v>
      </c>
      <c r="U39" s="151"/>
      <c r="V39" s="937">
        <v>0</v>
      </c>
      <c r="W39" s="392"/>
      <c r="X39" s="76"/>
      <c r="Y39" s="392"/>
      <c r="Z39" s="76"/>
      <c r="AA39" s="392"/>
      <c r="AB39" s="76"/>
      <c r="AC39" s="392"/>
      <c r="AD39" s="76"/>
      <c r="AE39" s="151"/>
      <c r="AF39" s="174"/>
      <c r="AG39" s="151"/>
      <c r="AH39" s="174"/>
      <c r="AI39" s="151"/>
      <c r="AJ39" s="151"/>
      <c r="AK39" s="174"/>
      <c r="AL39" s="151"/>
      <c r="AM39" s="151"/>
      <c r="AN39" s="174"/>
      <c r="AO39" s="151"/>
      <c r="AP39" s="174"/>
      <c r="AQ39" s="151"/>
      <c r="AR39" s="925"/>
      <c r="AS39" s="925"/>
      <c r="AT39" s="925"/>
      <c r="AU39" s="925"/>
      <c r="AV39" s="925"/>
      <c r="AW39" s="925"/>
    </row>
    <row r="40" spans="1:49" ht="15" customHeight="1">
      <c r="C40" s="665"/>
      <c r="D40" s="926"/>
      <c r="E40" s="665"/>
      <c r="F40" s="926"/>
      <c r="G40" s="665"/>
      <c r="H40" s="926"/>
      <c r="I40" s="76"/>
      <c r="J40" s="76"/>
      <c r="K40" s="937">
        <v>0</v>
      </c>
      <c r="L40" s="76"/>
      <c r="M40" s="1201"/>
      <c r="N40" s="665"/>
      <c r="O40" s="926"/>
      <c r="P40" s="665"/>
      <c r="Q40" s="926"/>
      <c r="R40" s="665"/>
      <c r="S40" s="926"/>
      <c r="T40" s="76"/>
      <c r="U40" s="151"/>
      <c r="V40" s="937">
        <v>0</v>
      </c>
      <c r="W40" s="665"/>
      <c r="X40" s="665"/>
      <c r="Y40" s="665"/>
      <c r="Z40" s="665"/>
      <c r="AA40" s="665"/>
      <c r="AB40" s="665"/>
      <c r="AC40" s="665"/>
      <c r="AD40" s="665"/>
      <c r="AR40" s="925"/>
      <c r="AS40" s="925"/>
      <c r="AT40" s="925"/>
      <c r="AU40" s="925"/>
      <c r="AV40" s="925"/>
      <c r="AW40" s="925"/>
    </row>
    <row r="41" spans="1:49">
      <c r="A41" s="173" t="str">
        <f>+'Exh D-Governmental  '!A49</f>
        <v>Fund Balances (Deficits) at April 1</v>
      </c>
      <c r="B41" s="618" t="s">
        <v>14</v>
      </c>
      <c r="C41" s="115"/>
      <c r="D41" s="1643"/>
      <c r="E41" s="115">
        <v>0</v>
      </c>
      <c r="F41" s="926"/>
      <c r="G41" s="115">
        <f>'Exhibit G State'!D13</f>
        <v>5708.6</v>
      </c>
      <c r="H41" s="1643"/>
      <c r="I41" s="916">
        <v>0</v>
      </c>
      <c r="J41" s="81"/>
      <c r="K41" s="937">
        <v>0</v>
      </c>
      <c r="L41" s="81"/>
      <c r="M41" s="1201"/>
      <c r="N41" s="115"/>
      <c r="O41" s="1643"/>
      <c r="P41" s="115">
        <v>0</v>
      </c>
      <c r="Q41" s="926"/>
      <c r="R41" s="115">
        <f>'Exhibit G Federal'!D13</f>
        <v>4960.7</v>
      </c>
      <c r="S41" s="1643"/>
      <c r="T41" s="916">
        <v>0</v>
      </c>
      <c r="U41" s="151"/>
      <c r="V41" s="937">
        <v>0</v>
      </c>
      <c r="W41" s="665"/>
      <c r="X41" s="76"/>
      <c r="Y41" s="665"/>
      <c r="Z41" s="76"/>
      <c r="AA41" s="665"/>
      <c r="AB41" s="81"/>
      <c r="AC41" s="665"/>
      <c r="AD41" s="665"/>
      <c r="AR41" s="925"/>
      <c r="AS41" s="925"/>
      <c r="AT41" s="925"/>
      <c r="AU41" s="925"/>
      <c r="AV41" s="925"/>
      <c r="AW41" s="925"/>
    </row>
    <row r="42" spans="1:49" ht="18" customHeight="1" thickBot="1">
      <c r="A42" s="1343" t="str">
        <f>+'Exh D-Governmental  '!A50</f>
        <v>Fund Balances (Deficits) at April 30, 2021</v>
      </c>
      <c r="B42" s="180" t="s">
        <v>14</v>
      </c>
      <c r="C42" s="98">
        <f>ROUND(SUM(C39:C41),1)</f>
        <v>0</v>
      </c>
      <c r="D42" s="181"/>
      <c r="E42" s="98">
        <f>ROUND(SUM(E39:E41),1)</f>
        <v>0</v>
      </c>
      <c r="F42" s="181"/>
      <c r="G42" s="98">
        <f>ROUND(SUM(G39:G41),1)</f>
        <v>6329.3</v>
      </c>
      <c r="H42" s="181"/>
      <c r="I42" s="98">
        <f>ROUND(SUM(I39:I41),1)</f>
        <v>0</v>
      </c>
      <c r="J42" s="219"/>
      <c r="K42" s="98">
        <f>ROUND(SUM(K39:K41),1)</f>
        <v>0</v>
      </c>
      <c r="L42" s="219"/>
      <c r="M42" s="1202"/>
      <c r="N42" s="98">
        <f>ROUND(SUM(N39:N41),1)</f>
        <v>0</v>
      </c>
      <c r="O42" s="181"/>
      <c r="P42" s="98">
        <f>ROUND(SUM(P39:P41),1)</f>
        <v>0</v>
      </c>
      <c r="Q42" s="181"/>
      <c r="R42" s="98">
        <f>ROUND(SUM(R39:R41),1)</f>
        <v>7300.6</v>
      </c>
      <c r="S42" s="181"/>
      <c r="T42" s="98">
        <f>ROUND(SUM(T39:T41),1)</f>
        <v>0</v>
      </c>
      <c r="U42" s="151"/>
      <c r="V42" s="98">
        <f>ROUND(SUM(V39:V41),1)</f>
        <v>0</v>
      </c>
      <c r="W42" s="969"/>
      <c r="X42" s="219"/>
      <c r="Y42" s="969"/>
      <c r="Z42" s="219"/>
      <c r="AA42" s="969"/>
      <c r="AB42" s="219"/>
      <c r="AR42" s="925"/>
      <c r="AS42" s="925"/>
      <c r="AT42" s="925"/>
      <c r="AU42" s="925"/>
      <c r="AV42" s="925"/>
      <c r="AW42" s="925"/>
    </row>
    <row r="43" spans="1:49" ht="15" customHeight="1" thickTop="1">
      <c r="A43" s="155"/>
      <c r="G43" s="618"/>
      <c r="J43" s="618"/>
      <c r="V43" s="618"/>
      <c r="W43" s="970"/>
      <c r="X43" s="683"/>
      <c r="Y43" s="970"/>
      <c r="Z43" s="970"/>
      <c r="AA43" s="970"/>
      <c r="AB43" s="970"/>
      <c r="AR43" s="925"/>
      <c r="AS43" s="925"/>
      <c r="AT43" s="925"/>
      <c r="AU43" s="925"/>
      <c r="AV43" s="925"/>
      <c r="AW43" s="925"/>
    </row>
    <row r="44" spans="1:49">
      <c r="A44" s="930" t="str">
        <f>'Exh D-Governmental  '!A52</f>
        <v>(*)    Due to the absence of the 2021-22 Enacted Budget Financial Plan, the "Financial Plan Cashflow" is not available;</v>
      </c>
      <c r="AR44" s="925"/>
      <c r="AS44" s="925"/>
      <c r="AT44" s="925"/>
      <c r="AU44" s="925"/>
      <c r="AV44" s="925"/>
      <c r="AW44" s="925"/>
    </row>
    <row r="45" spans="1:49">
      <c r="A45" s="930" t="str">
        <f>'Exh D-Governmental  '!A53</f>
        <v xml:space="preserve">        therefore no Plan-to-Actual comparison can be made for the period ending April 30, 2021.</v>
      </c>
      <c r="B45" s="925"/>
      <c r="C45" s="943"/>
      <c r="D45" s="925"/>
      <c r="E45" s="925"/>
      <c r="F45" s="925"/>
      <c r="G45" s="925"/>
      <c r="H45" s="925"/>
      <c r="I45" s="925"/>
      <c r="J45" s="925"/>
      <c r="K45" s="925"/>
      <c r="L45" s="685"/>
      <c r="M45" s="685"/>
      <c r="N45" s="925"/>
      <c r="O45" s="925"/>
      <c r="P45" s="925"/>
      <c r="Q45" s="925"/>
      <c r="R45" s="925"/>
      <c r="S45" s="925"/>
      <c r="T45" s="925"/>
      <c r="U45" s="925"/>
      <c r="V45" s="685"/>
      <c r="W45" s="685"/>
      <c r="X45" s="685"/>
      <c r="Y45" s="685"/>
      <c r="Z45" s="685"/>
      <c r="AA45" s="685"/>
      <c r="AB45" s="685"/>
      <c r="AC45" s="925"/>
      <c r="AD45" s="925"/>
      <c r="AE45" s="925"/>
      <c r="AF45" s="925"/>
      <c r="AG45" s="925"/>
      <c r="AH45" s="925"/>
      <c r="AI45" s="925"/>
      <c r="AJ45" s="925"/>
      <c r="AK45" s="925"/>
      <c r="AL45" s="925"/>
      <c r="AM45" s="925"/>
      <c r="AN45" s="925"/>
      <c r="AO45" s="925"/>
      <c r="AP45" s="925"/>
      <c r="AQ45" s="925"/>
      <c r="AR45" s="925"/>
      <c r="AS45" s="925"/>
      <c r="AT45" s="925"/>
      <c r="AU45" s="925"/>
      <c r="AV45" s="925"/>
      <c r="AW45" s="925"/>
    </row>
    <row r="46" spans="1:49">
      <c r="A46" s="901"/>
    </row>
    <row r="47" spans="1:49">
      <c r="A47" s="204"/>
      <c r="B47" s="925"/>
      <c r="C47" s="925"/>
      <c r="D47" s="925"/>
      <c r="E47" s="925"/>
      <c r="F47" s="925"/>
      <c r="G47" s="925"/>
      <c r="H47" s="925"/>
      <c r="I47" s="925"/>
      <c r="J47" s="925"/>
      <c r="K47" s="925"/>
      <c r="L47" s="685"/>
      <c r="M47" s="685"/>
      <c r="N47" s="925"/>
      <c r="O47" s="925"/>
      <c r="P47" s="925"/>
      <c r="Q47" s="925"/>
      <c r="R47" s="925"/>
      <c r="S47" s="925"/>
      <c r="T47" s="925"/>
      <c r="U47" s="925"/>
      <c r="V47" s="685"/>
      <c r="W47" s="685"/>
      <c r="X47" s="685"/>
      <c r="Y47" s="685"/>
      <c r="Z47" s="685"/>
      <c r="AA47" s="685"/>
      <c r="AB47" s="685"/>
      <c r="AC47" s="925"/>
      <c r="AD47" s="925"/>
      <c r="AE47" s="925"/>
      <c r="AF47" s="925"/>
      <c r="AG47" s="925"/>
      <c r="AH47" s="925"/>
      <c r="AI47" s="925"/>
      <c r="AJ47" s="925"/>
      <c r="AK47" s="925"/>
      <c r="AL47" s="925"/>
      <c r="AM47" s="925"/>
      <c r="AN47" s="925"/>
      <c r="AO47" s="925"/>
      <c r="AP47" s="925"/>
      <c r="AQ47" s="925"/>
      <c r="AR47" s="925"/>
      <c r="AS47" s="925"/>
      <c r="AT47" s="925"/>
      <c r="AU47" s="925"/>
      <c r="AV47" s="925"/>
      <c r="AW47" s="925"/>
    </row>
    <row r="48" spans="1:49">
      <c r="A48" s="204"/>
      <c r="B48" s="925"/>
      <c r="C48" s="943"/>
      <c r="D48" s="925"/>
      <c r="E48" s="943"/>
      <c r="F48" s="925"/>
      <c r="G48" s="925"/>
      <c r="H48" s="925"/>
      <c r="I48" s="925"/>
      <c r="J48" s="925"/>
      <c r="K48" s="925"/>
      <c r="L48" s="685"/>
      <c r="M48" s="685"/>
      <c r="N48" s="925"/>
      <c r="O48" s="925"/>
      <c r="P48" s="925"/>
      <c r="Q48" s="925"/>
      <c r="R48" s="925"/>
      <c r="S48" s="925"/>
      <c r="T48" s="925"/>
      <c r="U48" s="925"/>
      <c r="V48" s="685"/>
      <c r="W48" s="685"/>
      <c r="X48" s="685"/>
      <c r="Y48" s="685"/>
      <c r="Z48" s="685"/>
      <c r="AA48" s="685"/>
      <c r="AB48" s="685"/>
      <c r="AC48" s="925"/>
      <c r="AD48" s="925"/>
      <c r="AE48" s="925"/>
      <c r="AF48" s="925"/>
      <c r="AG48" s="925"/>
      <c r="AH48" s="925"/>
      <c r="AI48" s="925"/>
      <c r="AJ48" s="925"/>
      <c r="AK48" s="925"/>
      <c r="AL48" s="925"/>
      <c r="AM48" s="925"/>
      <c r="AN48" s="925"/>
      <c r="AO48" s="925"/>
      <c r="AP48" s="925"/>
      <c r="AQ48" s="925"/>
      <c r="AR48" s="925"/>
      <c r="AS48" s="925"/>
      <c r="AT48" s="925"/>
      <c r="AU48" s="925"/>
      <c r="AV48" s="925"/>
      <c r="AW48" s="925"/>
    </row>
    <row r="49" spans="3:5">
      <c r="C49" s="970"/>
      <c r="E49" s="970"/>
    </row>
    <row r="50" spans="3:5">
      <c r="C50" s="970"/>
      <c r="E50" s="970"/>
    </row>
    <row r="51" spans="3:5">
      <c r="C51" s="970"/>
      <c r="E51" s="970"/>
    </row>
    <row r="52" spans="3:5">
      <c r="C52" s="970"/>
      <c r="E52" s="970"/>
    </row>
    <row r="53" spans="3:5">
      <c r="C53" s="970"/>
      <c r="E53" s="970"/>
    </row>
    <row r="54" spans="3:5">
      <c r="C54" s="970"/>
      <c r="E54" s="970"/>
    </row>
    <row r="55" spans="3:5">
      <c r="C55" s="970"/>
      <c r="E55" s="970"/>
    </row>
    <row r="56" spans="3:5">
      <c r="C56" s="970"/>
      <c r="E56" s="970"/>
    </row>
    <row r="57" spans="3:5">
      <c r="C57" s="970"/>
      <c r="E57" s="970"/>
    </row>
    <row r="58" spans="3:5">
      <c r="C58" s="970"/>
      <c r="E58" s="970"/>
    </row>
    <row r="59" spans="3:5">
      <c r="C59" s="970"/>
      <c r="E59" s="970"/>
    </row>
    <row r="60" spans="3:5">
      <c r="C60" s="970"/>
      <c r="E60" s="970"/>
    </row>
    <row r="61" spans="3:5">
      <c r="C61" s="970"/>
      <c r="E61" s="970"/>
    </row>
    <row r="62" spans="3:5">
      <c r="C62" s="970"/>
      <c r="E62" s="970"/>
    </row>
    <row r="63" spans="3:5">
      <c r="C63" s="970"/>
      <c r="E63" s="970"/>
    </row>
    <row r="64" spans="3:5">
      <c r="C64" s="970"/>
      <c r="E64" s="970"/>
    </row>
    <row r="65" spans="3:5">
      <c r="C65" s="970"/>
      <c r="E65" s="970"/>
    </row>
    <row r="66" spans="3:5">
      <c r="C66" s="970"/>
      <c r="E66" s="970"/>
    </row>
    <row r="67" spans="3:5">
      <c r="C67" s="970"/>
      <c r="E67" s="970"/>
    </row>
    <row r="68" spans="3:5">
      <c r="C68" s="970"/>
      <c r="E68" s="970"/>
    </row>
    <row r="69" spans="3:5">
      <c r="C69" s="970"/>
      <c r="E69" s="970"/>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workbookViewId="0"/>
  </sheetViews>
  <sheetFormatPr defaultColWidth="8.765625" defaultRowHeight="15.5"/>
  <cols>
    <col min="1" max="1" width="47.07421875" style="925" customWidth="1"/>
    <col min="2" max="2" width="2" style="618" customWidth="1"/>
    <col min="3" max="3" width="15.07421875" style="425" customWidth="1"/>
    <col min="4" max="4" width="1.765625" style="929" customWidth="1"/>
    <col min="5" max="5" width="15.07421875" style="425" customWidth="1"/>
    <col min="6" max="6" width="2.765625" style="929" customWidth="1"/>
    <col min="7" max="7" width="15.07421875" style="929" customWidth="1"/>
    <col min="8" max="8" width="2" style="929" customWidth="1"/>
    <col min="9" max="9" width="15.07421875" style="929" customWidth="1"/>
    <col min="10" max="10" width="2.07421875" style="618" customWidth="1"/>
    <col min="11" max="11" width="15.07421875" style="618" customWidth="1"/>
    <col min="12" max="12" width="11.4609375" style="618" customWidth="1"/>
    <col min="13" max="13" width="1.765625" style="618" customWidth="1"/>
    <col min="14" max="14" width="11.765625" style="618" customWidth="1"/>
    <col min="15" max="15" width="2.07421875" style="618" customWidth="1"/>
    <col min="16" max="16" width="11.4609375" style="618" customWidth="1"/>
    <col min="17" max="17" width="0.53515625" style="618" customWidth="1"/>
    <col min="18" max="18" width="2.07421875" style="618" customWidth="1"/>
    <col min="19" max="19" width="10.53515625" style="618" customWidth="1"/>
    <col min="20" max="20" width="11.07421875" style="618" customWidth="1"/>
    <col min="21" max="21" width="2.07421875" style="618" customWidth="1"/>
    <col min="22" max="22" width="11.07421875" style="618" customWidth="1"/>
    <col min="23" max="23" width="2.07421875" style="618" customWidth="1"/>
    <col min="24" max="24" width="12.4609375" style="618" customWidth="1"/>
    <col min="25" max="29" width="8.765625" style="618"/>
    <col min="30" max="30" width="8.765625" style="929"/>
    <col min="31" max="16384" width="8.765625" style="925"/>
  </cols>
  <sheetData>
    <row r="1" spans="1:24">
      <c r="A1" s="931" t="s">
        <v>885</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16"/>
      <c r="J3" s="143"/>
      <c r="K3" s="816" t="s">
        <v>82</v>
      </c>
      <c r="L3" s="156"/>
      <c r="M3" s="156"/>
      <c r="N3" s="156"/>
      <c r="O3" s="156"/>
      <c r="P3" s="156"/>
      <c r="Q3" s="156"/>
      <c r="R3" s="156"/>
      <c r="S3" s="156"/>
      <c r="T3" s="156"/>
      <c r="U3" s="156"/>
      <c r="V3" s="156"/>
      <c r="W3" s="156"/>
      <c r="X3" s="192"/>
    </row>
    <row r="4" spans="1:24" ht="17.25" customHeight="1">
      <c r="A4" s="191" t="s">
        <v>81</v>
      </c>
      <c r="B4" s="148"/>
      <c r="C4" s="422"/>
      <c r="D4" s="143"/>
      <c r="E4" s="422"/>
      <c r="F4" s="143"/>
      <c r="G4" s="143"/>
      <c r="H4" s="143"/>
      <c r="I4" s="817"/>
      <c r="J4" s="143"/>
      <c r="K4" s="817"/>
      <c r="L4" s="156"/>
      <c r="M4" s="156"/>
      <c r="N4" s="156"/>
      <c r="O4" s="156"/>
      <c r="P4" s="156"/>
      <c r="Q4" s="156"/>
      <c r="R4" s="156"/>
      <c r="S4" s="156"/>
      <c r="T4" s="156"/>
      <c r="U4" s="156"/>
      <c r="V4" s="156"/>
      <c r="W4" s="156"/>
      <c r="X4" s="156"/>
    </row>
    <row r="5" spans="1:24" ht="17.25" customHeight="1">
      <c r="A5" s="3925" t="str">
        <f>'Exh D-Governmental  '!A5:E5</f>
        <v>FISCAL YEAR 2021-2022</v>
      </c>
      <c r="B5" s="3926"/>
      <c r="C5" s="3926"/>
      <c r="D5" s="3926"/>
      <c r="E5" s="3926"/>
      <c r="F5" s="143"/>
      <c r="G5" s="143"/>
      <c r="H5" s="143"/>
      <c r="I5" s="143"/>
      <c r="J5" s="143"/>
      <c r="K5" s="156"/>
      <c r="L5" s="156"/>
      <c r="M5" s="156"/>
      <c r="N5" s="156"/>
      <c r="O5" s="156"/>
      <c r="P5" s="156"/>
      <c r="Q5" s="156"/>
      <c r="R5" s="156"/>
      <c r="S5" s="156"/>
      <c r="T5" s="156"/>
      <c r="U5" s="156"/>
      <c r="V5" s="156"/>
      <c r="W5" s="156"/>
      <c r="X5" s="156"/>
    </row>
    <row r="6" spans="1:24" ht="17.25" customHeight="1">
      <c r="A6" s="1466" t="str">
        <f>'Exh D-Governmental  '!A6</f>
        <v xml:space="preserve">FOR ONE MONTH ENDED APRIL 30,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1281</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84"/>
      <c r="C11" s="3927" t="s">
        <v>1048</v>
      </c>
      <c r="D11" s="3927"/>
      <c r="E11" s="3927"/>
      <c r="F11" s="3927"/>
      <c r="G11" s="3927"/>
      <c r="H11" s="3927"/>
      <c r="I11" s="3927"/>
      <c r="J11" s="1188"/>
      <c r="K11" s="1189"/>
      <c r="L11" s="194"/>
      <c r="M11" s="194"/>
      <c r="N11" s="194"/>
      <c r="O11" s="194"/>
      <c r="P11" s="194"/>
      <c r="Q11" s="194"/>
      <c r="R11" s="151"/>
      <c r="S11" s="194"/>
      <c r="T11" s="195"/>
      <c r="U11" s="194"/>
      <c r="V11" s="194"/>
      <c r="W11" s="194"/>
      <c r="X11" s="194"/>
    </row>
    <row r="12" spans="1:24">
      <c r="A12" s="684"/>
      <c r="C12" s="426"/>
      <c r="D12" s="196"/>
      <c r="E12" s="426"/>
      <c r="F12" s="196"/>
      <c r="G12" s="197"/>
      <c r="H12" s="196"/>
      <c r="I12" s="196" t="s">
        <v>83</v>
      </c>
      <c r="J12" s="151"/>
      <c r="K12" s="196" t="s">
        <v>83</v>
      </c>
      <c r="L12" s="194"/>
      <c r="M12" s="194"/>
      <c r="N12" s="194"/>
      <c r="O12" s="194"/>
      <c r="P12" s="194"/>
      <c r="Q12" s="194"/>
      <c r="R12" s="151"/>
      <c r="S12" s="194"/>
      <c r="T12" s="195"/>
      <c r="U12" s="194"/>
      <c r="V12" s="194"/>
      <c r="W12" s="194"/>
      <c r="X12" s="194"/>
    </row>
    <row r="13" spans="1:24">
      <c r="A13" s="684"/>
      <c r="B13" s="151"/>
      <c r="C13" s="424"/>
      <c r="D13" s="198"/>
      <c r="E13" s="424"/>
      <c r="F13" s="198"/>
      <c r="G13" s="198"/>
      <c r="H13" s="198"/>
      <c r="I13" s="199" t="s">
        <v>798</v>
      </c>
      <c r="J13" s="151"/>
      <c r="K13" s="199" t="s">
        <v>798</v>
      </c>
      <c r="L13" s="151"/>
      <c r="M13" s="151"/>
      <c r="N13" s="151"/>
      <c r="O13" s="151"/>
      <c r="P13" s="200"/>
      <c r="Q13" s="201"/>
      <c r="R13" s="151"/>
      <c r="S13" s="151"/>
      <c r="T13" s="151"/>
      <c r="U13" s="151"/>
      <c r="V13" s="151"/>
      <c r="W13" s="151"/>
      <c r="X13" s="200"/>
    </row>
    <row r="14" spans="1:24">
      <c r="A14" s="684"/>
      <c r="B14" s="202"/>
      <c r="C14" s="154" t="s">
        <v>994</v>
      </c>
      <c r="D14" s="152"/>
      <c r="E14" s="153" t="s">
        <v>995</v>
      </c>
      <c r="F14" s="152"/>
      <c r="G14" s="152"/>
      <c r="H14" s="152"/>
      <c r="I14" s="153" t="s">
        <v>84</v>
      </c>
      <c r="J14" s="151"/>
      <c r="K14" s="153" t="s">
        <v>84</v>
      </c>
      <c r="L14" s="201"/>
      <c r="M14" s="151"/>
      <c r="N14" s="151"/>
      <c r="O14" s="151"/>
      <c r="P14" s="200"/>
      <c r="Q14" s="201"/>
      <c r="R14" s="151"/>
      <c r="S14" s="200"/>
      <c r="T14" s="201"/>
      <c r="U14" s="151"/>
      <c r="V14" s="151"/>
      <c r="W14" s="151"/>
      <c r="X14" s="200"/>
    </row>
    <row r="15" spans="1:24">
      <c r="A15" s="684"/>
      <c r="B15" s="202"/>
      <c r="C15" s="153" t="s">
        <v>1031</v>
      </c>
      <c r="D15" s="152"/>
      <c r="E15" s="153" t="s">
        <v>1031</v>
      </c>
      <c r="F15" s="152"/>
      <c r="G15" s="152"/>
      <c r="H15" s="152"/>
      <c r="I15" s="153" t="s">
        <v>994</v>
      </c>
      <c r="J15" s="151"/>
      <c r="K15" s="153" t="s">
        <v>995</v>
      </c>
      <c r="L15" s="201"/>
      <c r="M15" s="151"/>
      <c r="N15" s="151"/>
      <c r="O15" s="151"/>
      <c r="P15" s="200"/>
      <c r="Q15" s="201"/>
      <c r="R15" s="151"/>
      <c r="S15" s="200"/>
      <c r="T15" s="201"/>
      <c r="U15" s="151"/>
      <c r="V15" s="151"/>
      <c r="W15" s="151"/>
      <c r="X15" s="200"/>
    </row>
    <row r="16" spans="1:24">
      <c r="A16" s="684"/>
      <c r="B16" s="201"/>
      <c r="C16" s="153" t="s">
        <v>1032</v>
      </c>
      <c r="D16" s="152"/>
      <c r="E16" s="153" t="s">
        <v>1433</v>
      </c>
      <c r="F16" s="152"/>
      <c r="G16" s="154" t="s">
        <v>83</v>
      </c>
      <c r="H16" s="152"/>
      <c r="I16" s="153" t="s">
        <v>85</v>
      </c>
      <c r="J16" s="151"/>
      <c r="K16" s="153" t="s">
        <v>85</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13</v>
      </c>
      <c r="B18" s="918"/>
      <c r="C18" s="653"/>
      <c r="D18" s="653"/>
      <c r="E18" s="653"/>
      <c r="F18" s="653"/>
      <c r="G18" s="653"/>
      <c r="H18" s="653"/>
      <c r="I18" s="653"/>
      <c r="J18" s="918"/>
      <c r="K18" s="653"/>
      <c r="L18" s="918"/>
      <c r="M18" s="918"/>
      <c r="N18" s="918"/>
      <c r="O18" s="918"/>
      <c r="P18" s="918"/>
      <c r="Q18" s="918"/>
      <c r="R18" s="918"/>
      <c r="S18" s="918"/>
      <c r="T18" s="918"/>
      <c r="U18" s="918"/>
      <c r="V18" s="918"/>
      <c r="W18" s="918"/>
      <c r="X18" s="918"/>
    </row>
    <row r="19" spans="1:24">
      <c r="A19" s="814" t="s">
        <v>86</v>
      </c>
      <c r="B19" s="919"/>
      <c r="C19" s="653"/>
      <c r="D19" s="653"/>
      <c r="E19" s="653"/>
      <c r="F19" s="653"/>
      <c r="G19" s="653"/>
      <c r="H19" s="919"/>
      <c r="I19" s="653"/>
      <c r="J19" s="918"/>
      <c r="K19" s="653"/>
      <c r="L19" s="918"/>
      <c r="M19" s="918"/>
      <c r="N19" s="918"/>
      <c r="O19" s="918"/>
      <c r="P19" s="918"/>
      <c r="Q19" s="918"/>
      <c r="R19" s="918"/>
      <c r="S19" s="918"/>
      <c r="T19" s="918"/>
      <c r="U19" s="918"/>
      <c r="V19" s="918"/>
      <c r="W19" s="918"/>
      <c r="X19" s="918"/>
    </row>
    <row r="20" spans="1:24">
      <c r="A20" s="814" t="s">
        <v>87</v>
      </c>
      <c r="B20" s="919" t="s">
        <v>14</v>
      </c>
      <c r="C20" s="2047">
        <v>0</v>
      </c>
      <c r="D20" s="656"/>
      <c r="E20" s="2047">
        <v>0</v>
      </c>
      <c r="F20" s="656"/>
      <c r="G20" s="1006">
        <f>+'Exhibit H'!AA16</f>
        <v>3262.9</v>
      </c>
      <c r="H20" s="656"/>
      <c r="I20" s="654">
        <v>0</v>
      </c>
      <c r="J20" s="918"/>
      <c r="K20" s="654">
        <v>0</v>
      </c>
      <c r="L20" s="965"/>
      <c r="M20" s="918"/>
      <c r="N20" s="918"/>
      <c r="O20" s="918"/>
      <c r="P20" s="918"/>
      <c r="Q20" s="918"/>
      <c r="R20" s="918"/>
      <c r="S20" s="918"/>
      <c r="T20" s="918"/>
      <c r="U20" s="918"/>
      <c r="V20" s="918"/>
      <c r="W20" s="918"/>
      <c r="X20" s="918"/>
    </row>
    <row r="21" spans="1:24">
      <c r="A21" s="814" t="s">
        <v>88</v>
      </c>
      <c r="B21" s="918" t="s">
        <v>14</v>
      </c>
      <c r="C21" s="1116">
        <v>0</v>
      </c>
      <c r="D21" s="1523"/>
      <c r="E21" s="1116">
        <v>0</v>
      </c>
      <c r="F21" s="639"/>
      <c r="G21" s="889">
        <f>+'Exhibit H'!AA20</f>
        <v>895.4</v>
      </c>
      <c r="H21" s="639"/>
      <c r="I21" s="639">
        <v>0</v>
      </c>
      <c r="J21" s="937"/>
      <c r="K21" s="1523">
        <v>0</v>
      </c>
      <c r="L21" s="965"/>
      <c r="M21" s="918"/>
      <c r="N21" s="918"/>
      <c r="O21" s="918"/>
      <c r="P21" s="918"/>
      <c r="Q21" s="918"/>
      <c r="R21" s="918"/>
      <c r="S21" s="918"/>
      <c r="T21" s="918"/>
      <c r="U21" s="918"/>
      <c r="V21" s="918"/>
      <c r="W21" s="918"/>
      <c r="X21" s="918"/>
    </row>
    <row r="22" spans="1:24">
      <c r="A22" s="814" t="s">
        <v>90</v>
      </c>
      <c r="B22" s="918" t="s">
        <v>14</v>
      </c>
      <c r="C22" s="1116">
        <v>0</v>
      </c>
      <c r="D22" s="1523"/>
      <c r="E22" s="1116">
        <v>0</v>
      </c>
      <c r="F22" s="639"/>
      <c r="G22" s="889">
        <f>+'Exhibit H'!AA24</f>
        <v>97.5</v>
      </c>
      <c r="H22" s="639"/>
      <c r="I22" s="639">
        <v>0</v>
      </c>
      <c r="J22" s="937"/>
      <c r="K22" s="1523">
        <v>0</v>
      </c>
      <c r="L22" s="965"/>
      <c r="M22" s="918"/>
      <c r="N22" s="918"/>
      <c r="O22" s="918"/>
      <c r="P22" s="918"/>
      <c r="Q22" s="918"/>
      <c r="R22" s="918"/>
      <c r="S22" s="918"/>
      <c r="T22" s="918"/>
      <c r="U22" s="918"/>
      <c r="V22" s="918"/>
      <c r="W22" s="918"/>
      <c r="X22" s="918"/>
    </row>
    <row r="23" spans="1:24" ht="15" customHeight="1">
      <c r="A23" s="814" t="s">
        <v>19</v>
      </c>
      <c r="B23" s="918" t="s">
        <v>14</v>
      </c>
      <c r="C23" s="1116">
        <v>0</v>
      </c>
      <c r="D23" s="1523"/>
      <c r="E23" s="1116">
        <v>0</v>
      </c>
      <c r="F23" s="639"/>
      <c r="G23" s="889">
        <f>+'Exhibit H'!AA47</f>
        <v>43.2</v>
      </c>
      <c r="H23" s="639"/>
      <c r="I23" s="639">
        <v>0</v>
      </c>
      <c r="J23" s="937"/>
      <c r="K23" s="1523">
        <v>0</v>
      </c>
      <c r="L23" s="965"/>
      <c r="M23" s="918"/>
      <c r="N23" s="918"/>
      <c r="O23" s="918"/>
      <c r="P23" s="918"/>
      <c r="Q23" s="918"/>
      <c r="R23" s="918"/>
      <c r="S23" s="918"/>
      <c r="T23" s="918"/>
      <c r="U23" s="918"/>
      <c r="V23" s="918"/>
      <c r="W23" s="918"/>
      <c r="X23" s="918"/>
    </row>
    <row r="24" spans="1:24" ht="15" customHeight="1">
      <c r="A24" s="814" t="s">
        <v>20</v>
      </c>
      <c r="B24" s="918" t="s">
        <v>14</v>
      </c>
      <c r="C24" s="1116">
        <v>0</v>
      </c>
      <c r="D24" s="1523"/>
      <c r="E24" s="1116">
        <v>0</v>
      </c>
      <c r="F24" s="639"/>
      <c r="G24" s="889">
        <f>+'Exhibit H'!AA49</f>
        <v>0</v>
      </c>
      <c r="H24" s="639"/>
      <c r="I24" s="639">
        <f t="shared" ref="I24" si="0">G24-C24</f>
        <v>0</v>
      </c>
      <c r="J24" s="937"/>
      <c r="K24" s="1523">
        <f t="shared" ref="K24" si="1">G24-E24</f>
        <v>0</v>
      </c>
      <c r="L24" s="965"/>
      <c r="M24" s="918"/>
      <c r="N24" s="941"/>
      <c r="O24" s="918"/>
      <c r="P24" s="941"/>
      <c r="Q24" s="942"/>
      <c r="R24" s="918"/>
      <c r="S24" s="918"/>
      <c r="T24" s="918"/>
      <c r="U24" s="918"/>
      <c r="V24" s="918"/>
      <c r="W24" s="918"/>
      <c r="X24" s="918"/>
    </row>
    <row r="25" spans="1:24">
      <c r="A25" s="814" t="s">
        <v>46</v>
      </c>
      <c r="B25" s="942" t="s">
        <v>14</v>
      </c>
      <c r="C25" s="1116">
        <v>0</v>
      </c>
      <c r="D25" s="1523"/>
      <c r="E25" s="1116">
        <v>0</v>
      </c>
      <c r="F25" s="639"/>
      <c r="G25" s="1476">
        <f>+'Exhibit H'!AA66</f>
        <v>295.89999999999998</v>
      </c>
      <c r="H25" s="639"/>
      <c r="I25" s="639">
        <v>0</v>
      </c>
      <c r="J25" s="937"/>
      <c r="K25" s="1523">
        <v>0</v>
      </c>
      <c r="L25" s="965"/>
      <c r="M25" s="918"/>
      <c r="N25" s="941"/>
      <c r="O25" s="918"/>
      <c r="P25" s="941"/>
      <c r="Q25" s="942"/>
      <c r="R25" s="918"/>
      <c r="S25" s="918"/>
      <c r="T25" s="918"/>
      <c r="U25" s="918"/>
      <c r="V25" s="918"/>
      <c r="W25" s="918"/>
      <c r="X25" s="918"/>
    </row>
    <row r="26" spans="1:24" ht="18" customHeight="1">
      <c r="A26" s="957" t="s">
        <v>107</v>
      </c>
      <c r="B26" s="151" t="s">
        <v>14</v>
      </c>
      <c r="C26" s="215">
        <f>ROUND(SUM(C20:C25),1)</f>
        <v>0</v>
      </c>
      <c r="D26" s="112"/>
      <c r="E26" s="215">
        <f>ROUND(SUM(E20:E25),1)</f>
        <v>0</v>
      </c>
      <c r="F26" s="916"/>
      <c r="G26" s="1477">
        <f>ROUND(SUM(G20:G25),1)</f>
        <v>4594.8999999999996</v>
      </c>
      <c r="H26" s="916"/>
      <c r="I26" s="215">
        <f>ROUND(SUM(I20:I25),1)</f>
        <v>0</v>
      </c>
      <c r="J26" s="76"/>
      <c r="K26" s="215">
        <f>ROUND(SUM(K20:K25),1)</f>
        <v>0</v>
      </c>
      <c r="L26" s="965"/>
      <c r="M26" s="151"/>
      <c r="N26" s="151"/>
      <c r="O26" s="151"/>
      <c r="P26" s="151"/>
      <c r="Q26" s="151"/>
      <c r="R26" s="151"/>
      <c r="S26" s="151"/>
      <c r="T26" s="151"/>
      <c r="U26" s="151"/>
      <c r="V26" s="151"/>
      <c r="W26" s="151"/>
      <c r="X26" s="151"/>
    </row>
    <row r="27" spans="1:24">
      <c r="A27" s="684"/>
      <c r="B27" s="918"/>
      <c r="C27" s="682"/>
      <c r="D27" s="889"/>
      <c r="E27" s="682"/>
      <c r="F27" s="639"/>
      <c r="G27" s="1036"/>
      <c r="H27" s="639"/>
      <c r="I27" s="682"/>
      <c r="J27" s="937"/>
      <c r="K27" s="682"/>
      <c r="L27" s="965"/>
      <c r="M27" s="918"/>
      <c r="N27" s="918"/>
      <c r="O27" s="918"/>
      <c r="P27" s="918"/>
      <c r="Q27" s="918"/>
      <c r="R27" s="918"/>
      <c r="S27" s="918"/>
      <c r="T27" s="918"/>
      <c r="U27" s="918"/>
      <c r="V27" s="918"/>
      <c r="W27" s="918"/>
      <c r="X27" s="918"/>
    </row>
    <row r="28" spans="1:24">
      <c r="A28" s="29" t="s">
        <v>22</v>
      </c>
      <c r="B28" s="918"/>
      <c r="C28" s="639"/>
      <c r="D28" s="889"/>
      <c r="E28" s="1523"/>
      <c r="F28" s="639"/>
      <c r="G28" s="889"/>
      <c r="H28" s="639"/>
      <c r="I28" s="639"/>
      <c r="J28" s="937"/>
      <c r="K28" s="639"/>
      <c r="L28" s="965"/>
      <c r="M28" s="918"/>
      <c r="N28" s="918"/>
      <c r="O28" s="918"/>
      <c r="P28" s="918"/>
      <c r="Q28" s="918"/>
      <c r="R28" s="918"/>
      <c r="S28" s="918"/>
      <c r="T28" s="918"/>
      <c r="U28" s="918"/>
      <c r="V28" s="918"/>
      <c r="W28" s="918"/>
      <c r="X28" s="918"/>
    </row>
    <row r="29" spans="1:24">
      <c r="A29" s="814" t="s">
        <v>93</v>
      </c>
      <c r="B29" s="939" t="s">
        <v>14</v>
      </c>
      <c r="C29" s="1116">
        <v>0</v>
      </c>
      <c r="D29" s="1523"/>
      <c r="E29" s="1116">
        <v>0</v>
      </c>
      <c r="F29" s="639"/>
      <c r="G29" s="678">
        <f>+'Exhibit H'!AA55</f>
        <v>0.2</v>
      </c>
      <c r="H29" s="639"/>
      <c r="I29" s="1523">
        <v>0</v>
      </c>
      <c r="J29" s="937"/>
      <c r="K29" s="1523">
        <v>0</v>
      </c>
      <c r="L29" s="965"/>
      <c r="M29" s="918"/>
      <c r="N29" s="939"/>
      <c r="O29" s="918"/>
      <c r="P29" s="941"/>
      <c r="Q29" s="918"/>
      <c r="R29" s="918"/>
      <c r="S29" s="941"/>
      <c r="T29" s="941"/>
      <c r="U29" s="918"/>
      <c r="V29" s="941"/>
      <c r="W29" s="918"/>
      <c r="X29" s="941"/>
    </row>
    <row r="30" spans="1:24" ht="14.25" customHeight="1">
      <c r="A30" s="814" t="s">
        <v>94</v>
      </c>
      <c r="B30" s="942" t="s">
        <v>14</v>
      </c>
      <c r="C30" s="1116">
        <v>0</v>
      </c>
      <c r="D30" s="1523"/>
      <c r="E30" s="1116">
        <v>0</v>
      </c>
      <c r="F30" s="639"/>
      <c r="G30" s="1116">
        <f>+'Exhibit H'!AA57</f>
        <v>122.4</v>
      </c>
      <c r="H30" s="639"/>
      <c r="I30" s="1523">
        <v>0</v>
      </c>
      <c r="J30" s="937"/>
      <c r="K30" s="1523">
        <v>0</v>
      </c>
      <c r="L30" s="965"/>
      <c r="M30" s="918"/>
      <c r="N30" s="939"/>
      <c r="O30" s="918"/>
      <c r="P30" s="918"/>
      <c r="Q30" s="918"/>
      <c r="R30" s="918"/>
      <c r="S30" s="941"/>
      <c r="T30" s="941"/>
      <c r="U30" s="918"/>
      <c r="V30" s="941"/>
      <c r="W30" s="918"/>
      <c r="X30" s="941"/>
    </row>
    <row r="31" spans="1:24">
      <c r="A31" s="814" t="s">
        <v>97</v>
      </c>
      <c r="B31" s="942" t="s">
        <v>14</v>
      </c>
      <c r="C31" s="1116">
        <v>0</v>
      </c>
      <c r="D31" s="1523"/>
      <c r="E31" s="1116">
        <v>0</v>
      </c>
      <c r="F31" s="639"/>
      <c r="G31" s="678">
        <f>-'Exhibit H'!AA67</f>
        <v>4330.8</v>
      </c>
      <c r="H31" s="639"/>
      <c r="I31" s="1523">
        <v>0</v>
      </c>
      <c r="J31" s="937"/>
      <c r="K31" s="1523">
        <v>0</v>
      </c>
      <c r="L31" s="965"/>
      <c r="M31" s="918"/>
      <c r="N31" s="941"/>
      <c r="O31" s="918"/>
      <c r="P31" s="941"/>
      <c r="Q31" s="942"/>
      <c r="R31" s="918"/>
      <c r="S31" s="918"/>
      <c r="T31" s="918"/>
      <c r="U31" s="918"/>
      <c r="V31" s="918"/>
      <c r="W31" s="918"/>
      <c r="X31" s="918"/>
    </row>
    <row r="32" spans="1:24" ht="18" customHeight="1">
      <c r="A32" s="957" t="s">
        <v>116</v>
      </c>
      <c r="B32" s="151" t="s">
        <v>14</v>
      </c>
      <c r="C32" s="215">
        <f>ROUND(SUM(C29:C31),1)</f>
        <v>0</v>
      </c>
      <c r="D32" s="112"/>
      <c r="E32" s="215">
        <f>ROUND(SUM(E29:E31),1)</f>
        <v>0</v>
      </c>
      <c r="F32" s="916"/>
      <c r="G32" s="1477">
        <f>ROUND(SUM(G29:G31),1)</f>
        <v>4453.3999999999996</v>
      </c>
      <c r="H32" s="916"/>
      <c r="I32" s="215">
        <f>ROUND(SUM(I29:I31),1)</f>
        <v>0</v>
      </c>
      <c r="J32" s="76"/>
      <c r="K32" s="215">
        <f>ROUND(SUM(K29:K31),1)</f>
        <v>0</v>
      </c>
      <c r="L32" s="965"/>
      <c r="M32" s="151"/>
      <c r="N32" s="151"/>
      <c r="O32" s="151"/>
      <c r="P32" s="151"/>
      <c r="Q32" s="151"/>
      <c r="R32" s="151"/>
      <c r="S32" s="151"/>
      <c r="T32" s="151"/>
      <c r="U32" s="151"/>
      <c r="V32" s="151"/>
      <c r="W32" s="151"/>
      <c r="X32" s="151"/>
    </row>
    <row r="33" spans="1:24">
      <c r="A33" s="684"/>
      <c r="B33" s="918"/>
      <c r="C33" s="682"/>
      <c r="D33" s="889"/>
      <c r="E33" s="682"/>
      <c r="F33" s="639"/>
      <c r="G33" s="1036"/>
      <c r="H33" s="639"/>
      <c r="I33" s="682"/>
      <c r="J33" s="937"/>
      <c r="K33" s="682"/>
      <c r="L33" s="965"/>
      <c r="M33" s="918"/>
      <c r="N33" s="918"/>
      <c r="O33" s="918"/>
      <c r="P33" s="918"/>
      <c r="Q33" s="918"/>
      <c r="R33" s="918"/>
      <c r="S33" s="918"/>
      <c r="T33" s="918"/>
      <c r="U33" s="918"/>
      <c r="V33" s="918"/>
      <c r="W33" s="918"/>
      <c r="X33" s="918"/>
    </row>
    <row r="34" spans="1:24">
      <c r="A34" s="29" t="s">
        <v>117</v>
      </c>
      <c r="B34" s="918"/>
      <c r="C34" s="639"/>
      <c r="D34" s="889"/>
      <c r="E34" s="1523"/>
      <c r="F34" s="639"/>
      <c r="G34" s="889"/>
      <c r="H34" s="639"/>
      <c r="I34" s="639"/>
      <c r="J34" s="937"/>
      <c r="K34" s="639"/>
      <c r="L34" s="965"/>
      <c r="M34" s="918"/>
      <c r="N34" s="918"/>
      <c r="O34" s="918"/>
      <c r="P34" s="918"/>
      <c r="Q34" s="918"/>
      <c r="R34" s="918"/>
      <c r="S34" s="918"/>
      <c r="T34" s="918"/>
      <c r="U34" s="918"/>
      <c r="V34" s="918"/>
      <c r="W34" s="918"/>
      <c r="X34" s="918"/>
    </row>
    <row r="35" spans="1:24">
      <c r="A35" s="29" t="s">
        <v>118</v>
      </c>
      <c r="B35" s="918"/>
      <c r="C35" s="639"/>
      <c r="D35" s="889"/>
      <c r="E35" s="1523"/>
      <c r="F35" s="639"/>
      <c r="G35" s="889"/>
      <c r="H35" s="639"/>
      <c r="I35" s="639"/>
      <c r="J35" s="937"/>
      <c r="K35" s="639"/>
      <c r="L35" s="965"/>
      <c r="M35" s="918"/>
      <c r="N35" s="918"/>
      <c r="O35" s="918"/>
      <c r="P35" s="918"/>
      <c r="Q35" s="918"/>
      <c r="R35" s="918"/>
      <c r="S35" s="918"/>
      <c r="T35" s="918"/>
      <c r="U35" s="918"/>
      <c r="V35" s="918"/>
      <c r="W35" s="918"/>
      <c r="X35" s="918"/>
    </row>
    <row r="36" spans="1:24">
      <c r="A36" s="957" t="s">
        <v>101</v>
      </c>
      <c r="B36" s="956" t="s">
        <v>14</v>
      </c>
      <c r="C36" s="76">
        <f>C26-C32</f>
        <v>0</v>
      </c>
      <c r="D36" s="1099"/>
      <c r="E36" s="1524">
        <f>E26-E32</f>
        <v>0</v>
      </c>
      <c r="F36" s="84"/>
      <c r="G36" s="115">
        <f>ROUND(SUM(G26)-SUM(G32),1)</f>
        <v>141.5</v>
      </c>
      <c r="H36" s="84"/>
      <c r="I36" s="76">
        <f>ROUND(SUM(I26)-SUM(I32),1)</f>
        <v>0</v>
      </c>
      <c r="J36" s="392"/>
      <c r="K36" s="76">
        <f>ROUND(SUM(K26)-SUM(K32),1)</f>
        <v>0</v>
      </c>
      <c r="L36" s="965"/>
      <c r="M36" s="174"/>
      <c r="N36" s="151"/>
      <c r="O36" s="174"/>
      <c r="P36" s="151"/>
      <c r="Q36" s="151"/>
      <c r="R36" s="174"/>
      <c r="S36" s="151"/>
      <c r="T36" s="151"/>
      <c r="U36" s="174"/>
      <c r="V36" s="151"/>
      <c r="W36" s="174"/>
      <c r="X36" s="151"/>
    </row>
    <row r="37" spans="1:24" ht="15" customHeight="1">
      <c r="C37" s="665"/>
      <c r="D37" s="1643"/>
      <c r="E37" s="665"/>
      <c r="F37" s="926"/>
      <c r="G37" s="1478"/>
      <c r="H37" s="926"/>
      <c r="I37" s="665"/>
      <c r="J37" s="665"/>
      <c r="K37" s="665"/>
      <c r="L37" s="965"/>
    </row>
    <row r="38" spans="1:24">
      <c r="A38" s="972" t="str">
        <f>'Exh D-Governmental  '!A49</f>
        <v>Fund Balances (Deficits) at April 1</v>
      </c>
      <c r="B38" s="618" t="s">
        <v>14</v>
      </c>
      <c r="C38" s="115">
        <v>0</v>
      </c>
      <c r="D38" s="1643"/>
      <c r="E38" s="115">
        <v>0</v>
      </c>
      <c r="F38" s="926"/>
      <c r="G38" s="115">
        <f>'Exhibit H'!AA12</f>
        <v>65</v>
      </c>
      <c r="H38" s="926"/>
      <c r="I38" s="81">
        <v>0</v>
      </c>
      <c r="J38" s="665"/>
      <c r="K38" s="916">
        <v>0</v>
      </c>
      <c r="L38" s="965"/>
    </row>
    <row r="39" spans="1:24" ht="18" customHeight="1" thickBot="1">
      <c r="A39" s="1374" t="str">
        <f>+'Exh D-Governmental  '!A50</f>
        <v>Fund Balances (Deficits) at April 30, 2021</v>
      </c>
      <c r="B39" s="180" t="s">
        <v>14</v>
      </c>
      <c r="C39" s="98">
        <f>ROUND(SUM(C36:C38),1)</f>
        <v>0</v>
      </c>
      <c r="D39" s="181"/>
      <c r="E39" s="98">
        <f>ROUND(SUM(E36:E38),1)</f>
        <v>0</v>
      </c>
      <c r="F39" s="181"/>
      <c r="G39" s="1479">
        <f>ROUND(SUM(G36:G38),1)</f>
        <v>206.5</v>
      </c>
      <c r="H39" s="181"/>
      <c r="I39" s="98">
        <f>ROUND(SUM(I36:I38),1)</f>
        <v>0</v>
      </c>
      <c r="K39" s="98">
        <f>ROUND(SUM(K36:K38),1)</f>
        <v>0</v>
      </c>
      <c r="L39" s="965"/>
    </row>
    <row r="40" spans="1:24" ht="15" customHeight="1" thickTop="1">
      <c r="A40" s="155"/>
      <c r="C40" s="683"/>
      <c r="D40" s="943"/>
      <c r="E40" s="683"/>
      <c r="F40" s="943"/>
      <c r="G40" s="943"/>
      <c r="H40" s="943"/>
      <c r="I40" s="943"/>
      <c r="K40" s="943"/>
    </row>
    <row r="41" spans="1:24">
      <c r="A41" s="930" t="str">
        <f>'Exh D-Governmental  '!A52</f>
        <v>(*)    Due to the absence of the 2021-22 Enacted Budget Financial Plan, the "Financial Plan Cashflow" is not available;</v>
      </c>
    </row>
    <row r="42" spans="1:24">
      <c r="A42" s="930" t="str">
        <f>'Exh D-Governmental  '!A53</f>
        <v xml:space="preserve">        therefore no Plan-to-Actual comparison can be made for the period ending April 30, 2021.</v>
      </c>
    </row>
    <row r="43" spans="1:24">
      <c r="A43" s="944"/>
    </row>
    <row r="44" spans="1:24">
      <c r="A44" s="944"/>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workbookViewId="0"/>
  </sheetViews>
  <sheetFormatPr defaultColWidth="8.765625" defaultRowHeight="15.5"/>
  <cols>
    <col min="1" max="1" width="54" style="925" customWidth="1"/>
    <col min="2" max="2" width="2.07421875" style="929" customWidth="1"/>
    <col min="3" max="3" width="18.07421875" style="425" bestFit="1" customWidth="1"/>
    <col min="4" max="4" width="0.765625" style="929" customWidth="1"/>
    <col min="5" max="5" width="15.4609375" style="425" customWidth="1"/>
    <col min="6" max="6" width="0.765625" style="929" customWidth="1"/>
    <col min="7" max="7" width="14" style="929" customWidth="1"/>
    <col min="8" max="8" width="1.4609375" style="929" customWidth="1"/>
    <col min="9" max="9" width="15" style="929" customWidth="1"/>
    <col min="10" max="10" width="1.53515625" style="929" customWidth="1"/>
    <col min="11" max="11" width="15" style="929" customWidth="1"/>
    <col min="12" max="12" width="1" style="929" customWidth="1"/>
    <col min="13" max="13" width="15.07421875" style="945" customWidth="1"/>
    <col min="14" max="14" width="1" style="929" customWidth="1"/>
    <col min="15" max="15" width="14" style="929" customWidth="1"/>
    <col min="16" max="19" width="8.765625" style="929"/>
    <col min="20" max="16384" width="8.765625" style="925"/>
  </cols>
  <sheetData>
    <row r="1" spans="1:34">
      <c r="A1" s="640" t="s">
        <v>885</v>
      </c>
    </row>
    <row r="2" spans="1:34" ht="16.5">
      <c r="A2" s="185"/>
      <c r="B2" s="187"/>
      <c r="C2" s="419"/>
      <c r="D2" s="187"/>
      <c r="E2" s="419"/>
      <c r="F2" s="187"/>
      <c r="G2" s="187"/>
      <c r="H2" s="187"/>
      <c r="I2" s="187"/>
      <c r="J2" s="187"/>
      <c r="K2" s="187"/>
      <c r="L2" s="187"/>
      <c r="M2" s="1632"/>
    </row>
    <row r="3" spans="1:34" ht="17.25" customHeight="1">
      <c r="A3" s="191" t="s">
        <v>0</v>
      </c>
      <c r="B3" s="148"/>
      <c r="C3" s="421"/>
      <c r="D3" s="143"/>
      <c r="E3" s="422"/>
      <c r="F3" s="143"/>
      <c r="G3" s="143"/>
      <c r="H3" s="143"/>
      <c r="I3" s="143"/>
      <c r="J3" s="143"/>
      <c r="K3" s="143"/>
      <c r="L3" s="143"/>
      <c r="M3" s="816"/>
      <c r="O3" s="816" t="s">
        <v>82</v>
      </c>
    </row>
    <row r="4" spans="1:34" ht="17.25" customHeight="1">
      <c r="A4" s="191" t="s">
        <v>81</v>
      </c>
      <c r="B4" s="148"/>
      <c r="C4" s="421"/>
      <c r="D4" s="143"/>
      <c r="E4" s="422"/>
      <c r="F4" s="143"/>
      <c r="G4" s="143"/>
      <c r="H4" s="143"/>
      <c r="I4" s="143"/>
      <c r="J4" s="143"/>
      <c r="K4" s="143"/>
      <c r="L4" s="143"/>
      <c r="M4" s="817"/>
      <c r="O4" s="817"/>
    </row>
    <row r="5" spans="1:34" ht="17.25" customHeight="1">
      <c r="A5" s="3925" t="str">
        <f>'Exh D-Governmental  '!A5:E5</f>
        <v>FISCAL YEAR 2021-2022</v>
      </c>
      <c r="B5" s="3926"/>
      <c r="C5" s="3926"/>
      <c r="D5" s="3926"/>
      <c r="E5" s="3926"/>
      <c r="F5" s="143"/>
      <c r="G5" s="143"/>
      <c r="H5" s="143"/>
      <c r="I5" s="143"/>
      <c r="J5" s="143"/>
      <c r="K5" s="143"/>
      <c r="L5" s="143"/>
      <c r="M5" s="148"/>
    </row>
    <row r="6" spans="1:34" ht="17.25" customHeight="1">
      <c r="A6" s="1467" t="str">
        <f>+'Exh D-Governmental  '!A6</f>
        <v xml:space="preserve">FOR ONE MONTH ENDED APRIL 30,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18"/>
      <c r="AD6" s="618"/>
      <c r="AE6" s="618"/>
      <c r="AF6" s="618"/>
      <c r="AG6" s="618"/>
      <c r="AH6" s="929"/>
    </row>
    <row r="7" spans="1:34" ht="18">
      <c r="A7" s="191" t="s">
        <v>1281</v>
      </c>
      <c r="B7" s="148"/>
      <c r="C7" s="421"/>
      <c r="D7" s="143"/>
      <c r="E7" s="422"/>
      <c r="F7" s="143"/>
      <c r="G7" s="143"/>
      <c r="H7" s="143"/>
      <c r="I7" s="143"/>
      <c r="J7" s="143"/>
      <c r="K7" s="143"/>
      <c r="L7" s="143"/>
      <c r="M7" s="148"/>
    </row>
    <row r="8" spans="1:34" ht="17.5">
      <c r="A8" s="193"/>
      <c r="B8" s="148"/>
      <c r="C8" s="958"/>
      <c r="D8" s="156"/>
      <c r="E8" s="422"/>
      <c r="F8" s="143"/>
      <c r="G8" s="143"/>
      <c r="H8" s="143"/>
      <c r="I8" s="143"/>
      <c r="J8" s="143"/>
      <c r="K8" s="143"/>
      <c r="L8" s="143"/>
      <c r="M8" s="148"/>
    </row>
    <row r="9" spans="1:34">
      <c r="A9" s="150"/>
      <c r="B9" s="143"/>
      <c r="C9" s="1178"/>
      <c r="D9" s="156"/>
      <c r="E9" s="422"/>
      <c r="F9" s="143"/>
      <c r="G9" s="143"/>
      <c r="H9" s="143"/>
      <c r="I9" s="143"/>
      <c r="J9" s="143"/>
      <c r="K9" s="143"/>
      <c r="L9" s="143"/>
      <c r="M9" s="148"/>
    </row>
    <row r="10" spans="1:34">
      <c r="A10" s="150"/>
      <c r="B10" s="143"/>
      <c r="C10" s="958"/>
      <c r="D10" s="147"/>
      <c r="E10" s="421"/>
      <c r="F10" s="148"/>
      <c r="G10" s="148"/>
      <c r="H10" s="148"/>
      <c r="I10" s="148"/>
      <c r="J10" s="148"/>
      <c r="K10" s="148"/>
      <c r="L10" s="148"/>
      <c r="M10" s="148"/>
      <c r="N10" s="945"/>
    </row>
    <row r="11" spans="1:34">
      <c r="A11" s="684"/>
      <c r="B11" s="151"/>
      <c r="C11" s="1173"/>
      <c r="D11" s="1184"/>
      <c r="E11" s="1173"/>
      <c r="F11" s="1182"/>
      <c r="G11" s="1192"/>
      <c r="H11" s="1182"/>
      <c r="I11" s="1410" t="s">
        <v>1049</v>
      </c>
      <c r="J11" s="1630"/>
      <c r="K11" s="1630"/>
      <c r="L11" s="1630"/>
      <c r="M11" s="1182"/>
      <c r="N11" s="1185"/>
      <c r="O11" s="1170"/>
    </row>
    <row r="12" spans="1:34">
      <c r="A12" s="684"/>
      <c r="B12" s="151"/>
      <c r="C12" s="152"/>
      <c r="D12" s="152"/>
      <c r="E12" s="152"/>
      <c r="F12" s="152"/>
      <c r="G12" s="152"/>
      <c r="H12" s="152"/>
      <c r="I12" s="152"/>
      <c r="J12" s="152"/>
      <c r="K12" s="152"/>
      <c r="L12" s="152"/>
      <c r="M12" s="199" t="s">
        <v>83</v>
      </c>
      <c r="N12" s="153"/>
      <c r="O12" s="153" t="s">
        <v>83</v>
      </c>
    </row>
    <row r="13" spans="1:34">
      <c r="A13" s="684"/>
      <c r="B13" s="151"/>
      <c r="C13" s="152"/>
      <c r="D13" s="152"/>
      <c r="E13" s="152"/>
      <c r="F13" s="152"/>
      <c r="G13" s="152"/>
      <c r="H13" s="152"/>
      <c r="I13" s="152"/>
      <c r="J13" s="152"/>
      <c r="K13" s="152"/>
      <c r="L13" s="152"/>
      <c r="M13" s="199" t="s">
        <v>798</v>
      </c>
      <c r="N13" s="153"/>
      <c r="O13" s="153" t="s">
        <v>798</v>
      </c>
    </row>
    <row r="14" spans="1:34">
      <c r="A14" s="684"/>
      <c r="B14" s="151"/>
      <c r="C14" s="154" t="s">
        <v>994</v>
      </c>
      <c r="D14" s="152"/>
      <c r="E14" s="153" t="s">
        <v>995</v>
      </c>
      <c r="F14" s="152"/>
      <c r="G14" s="152"/>
      <c r="H14" s="152"/>
      <c r="I14" s="152"/>
      <c r="J14" s="152"/>
      <c r="K14" s="152"/>
      <c r="L14" s="152"/>
      <c r="M14" s="199" t="s">
        <v>84</v>
      </c>
      <c r="N14" s="153"/>
      <c r="O14" s="153" t="s">
        <v>84</v>
      </c>
    </row>
    <row r="15" spans="1:34" ht="15.75" customHeight="1">
      <c r="A15" s="684"/>
      <c r="B15" s="151"/>
      <c r="C15" s="153" t="s">
        <v>1031</v>
      </c>
      <c r="D15" s="152"/>
      <c r="E15" s="153" t="s">
        <v>1031</v>
      </c>
      <c r="F15" s="152"/>
      <c r="G15" s="152"/>
      <c r="H15" s="152"/>
      <c r="I15" s="152"/>
      <c r="J15" s="152"/>
      <c r="K15" s="152"/>
      <c r="L15" s="152"/>
      <c r="M15" s="199" t="s">
        <v>994</v>
      </c>
      <c r="N15" s="153"/>
      <c r="O15" s="153" t="s">
        <v>995</v>
      </c>
    </row>
    <row r="16" spans="1:34">
      <c r="A16" s="684"/>
      <c r="B16" s="151"/>
      <c r="C16" s="153" t="s">
        <v>1032</v>
      </c>
      <c r="D16" s="152"/>
      <c r="E16" s="153" t="s">
        <v>1433</v>
      </c>
      <c r="F16" s="152"/>
      <c r="G16" s="154" t="s">
        <v>83</v>
      </c>
      <c r="H16" s="152"/>
      <c r="I16" s="1205" t="s">
        <v>1168</v>
      </c>
      <c r="J16" s="152"/>
      <c r="K16" s="1205" t="s">
        <v>724</v>
      </c>
      <c r="L16" s="152"/>
      <c r="M16" s="199" t="s">
        <v>85</v>
      </c>
      <c r="N16" s="153"/>
      <c r="O16" s="153" t="s">
        <v>85</v>
      </c>
    </row>
    <row r="17" spans="1:34">
      <c r="A17" s="155"/>
      <c r="B17" s="156"/>
      <c r="C17" s="157"/>
      <c r="D17" s="156"/>
      <c r="E17" s="157"/>
      <c r="F17" s="143"/>
      <c r="G17" s="157"/>
      <c r="H17" s="143"/>
      <c r="I17" s="143"/>
      <c r="J17" s="143"/>
      <c r="K17" s="143"/>
      <c r="L17" s="143"/>
      <c r="M17" s="1633"/>
      <c r="O17" s="157"/>
    </row>
    <row r="18" spans="1:34">
      <c r="A18" s="29" t="s">
        <v>13</v>
      </c>
      <c r="B18" s="918"/>
      <c r="C18" s="653"/>
      <c r="D18" s="918"/>
      <c r="E18" s="653"/>
      <c r="F18" s="653"/>
      <c r="G18" s="653" t="s">
        <v>14</v>
      </c>
      <c r="H18" s="653"/>
      <c r="I18" s="653"/>
      <c r="J18" s="653"/>
      <c r="K18" s="653"/>
      <c r="L18" s="653"/>
      <c r="M18" s="1634"/>
      <c r="O18" s="653"/>
    </row>
    <row r="19" spans="1:34">
      <c r="A19" s="814" t="s">
        <v>86</v>
      </c>
      <c r="B19" s="919" t="s">
        <v>14</v>
      </c>
      <c r="C19" s="654"/>
      <c r="D19" s="965"/>
      <c r="E19" s="654"/>
      <c r="F19" s="654"/>
      <c r="G19" s="947"/>
      <c r="H19" s="656"/>
      <c r="I19" s="656"/>
      <c r="J19" s="656"/>
      <c r="K19" s="656"/>
      <c r="L19" s="656"/>
      <c r="M19" s="888"/>
      <c r="N19" s="918"/>
      <c r="O19" s="654"/>
      <c r="P19" s="918"/>
      <c r="Q19" s="918"/>
      <c r="R19" s="918"/>
      <c r="S19" s="918"/>
      <c r="T19" s="918"/>
      <c r="U19" s="918"/>
      <c r="V19" s="918"/>
      <c r="W19" s="918"/>
      <c r="X19" s="918"/>
      <c r="Y19" s="918"/>
      <c r="Z19" s="918"/>
      <c r="AA19" s="918"/>
      <c r="AB19" s="918"/>
      <c r="AC19" s="618"/>
      <c r="AD19" s="618"/>
      <c r="AE19" s="618"/>
      <c r="AF19" s="618"/>
      <c r="AG19" s="618"/>
      <c r="AH19" s="929"/>
    </row>
    <row r="20" spans="1:34">
      <c r="A20" s="814" t="s">
        <v>88</v>
      </c>
      <c r="B20" s="918" t="s">
        <v>14</v>
      </c>
      <c r="C20" s="935">
        <f>'Exh D Captl Projects State Fed'!C20+'Exh D Captl Projects State Fed'!M20</f>
        <v>0</v>
      </c>
      <c r="D20" s="937"/>
      <c r="E20" s="935">
        <f>'Exh D Captl Projects State Fed'!E20+'Exh D Captl Projects State Fed'!O20</f>
        <v>0</v>
      </c>
      <c r="F20" s="655"/>
      <c r="G20" s="935">
        <f>+'Exh D Captl Projects State Fed'!G20</f>
        <v>43.5</v>
      </c>
      <c r="H20" s="655"/>
      <c r="I20" s="935">
        <v>0</v>
      </c>
      <c r="J20" s="655"/>
      <c r="K20" s="1638">
        <f>+G20+I20</f>
        <v>43.5</v>
      </c>
      <c r="L20" s="655"/>
      <c r="M20" s="888">
        <v>0</v>
      </c>
      <c r="N20" s="918"/>
      <c r="O20" s="888">
        <v>0</v>
      </c>
      <c r="P20" s="918"/>
      <c r="Q20" s="918"/>
      <c r="R20" s="918"/>
      <c r="S20" s="918"/>
      <c r="T20" s="918"/>
      <c r="U20" s="918"/>
      <c r="V20" s="918"/>
      <c r="W20" s="918"/>
      <c r="X20" s="918"/>
      <c r="Y20" s="918"/>
      <c r="Z20" s="918"/>
      <c r="AA20" s="918"/>
      <c r="AB20" s="918"/>
      <c r="AC20" s="618"/>
      <c r="AD20" s="618"/>
      <c r="AE20" s="618"/>
      <c r="AF20" s="618"/>
      <c r="AG20" s="618"/>
      <c r="AH20" s="929"/>
    </row>
    <row r="21" spans="1:34">
      <c r="A21" s="814" t="s">
        <v>89</v>
      </c>
      <c r="B21" s="919" t="s">
        <v>14</v>
      </c>
      <c r="C21" s="680">
        <f>'Exh D Captl Projects State Fed'!C21+'Exh D Captl Projects State Fed'!M21</f>
        <v>0</v>
      </c>
      <c r="D21" s="937"/>
      <c r="E21" s="680">
        <f>'Exh D Captl Projects State Fed'!E21+'Exh D Captl Projects State Fed'!O21</f>
        <v>0</v>
      </c>
      <c r="F21" s="655"/>
      <c r="G21" s="680">
        <f>+'Exh D Captl Projects State Fed'!G21</f>
        <v>41.3</v>
      </c>
      <c r="H21" s="655"/>
      <c r="I21" s="655">
        <v>0</v>
      </c>
      <c r="J21" s="655"/>
      <c r="K21" s="3091">
        <f t="shared" ref="K21:K26" si="0">+G21+I21</f>
        <v>41.3</v>
      </c>
      <c r="L21" s="655"/>
      <c r="M21" s="889">
        <v>0</v>
      </c>
      <c r="N21" s="939"/>
      <c r="O21" s="889">
        <v>0</v>
      </c>
      <c r="P21" s="918"/>
      <c r="Q21" s="939"/>
      <c r="R21" s="918"/>
      <c r="S21" s="939"/>
      <c r="T21" s="918"/>
      <c r="U21" s="918"/>
      <c r="V21" s="939"/>
      <c r="W21" s="918"/>
      <c r="X21" s="918"/>
      <c r="Y21" s="939"/>
      <c r="Z21" s="203"/>
      <c r="AA21" s="939"/>
      <c r="AB21" s="918"/>
      <c r="AC21" s="618"/>
      <c r="AD21" s="618"/>
      <c r="AE21" s="618"/>
      <c r="AF21" s="618"/>
      <c r="AG21" s="618"/>
      <c r="AH21" s="929"/>
    </row>
    <row r="22" spans="1:34">
      <c r="A22" s="814" t="s">
        <v>90</v>
      </c>
      <c r="B22" s="918" t="s">
        <v>14</v>
      </c>
      <c r="C22" s="680">
        <f>'Exh D Captl Projects State Fed'!C22+'Exh D Captl Projects State Fed'!M22</f>
        <v>0</v>
      </c>
      <c r="D22" s="937"/>
      <c r="E22" s="680">
        <f>'Exh D Captl Projects State Fed'!E22+'Exh D Captl Projects State Fed'!O22</f>
        <v>0</v>
      </c>
      <c r="F22" s="655"/>
      <c r="G22" s="680">
        <f>+'Exh D Captl Projects State Fed'!G22</f>
        <v>0</v>
      </c>
      <c r="H22" s="655"/>
      <c r="I22" s="655">
        <v>0</v>
      </c>
      <c r="J22" s="655"/>
      <c r="K22" s="1639">
        <f>+G22+I22</f>
        <v>0</v>
      </c>
      <c r="L22" s="655"/>
      <c r="M22" s="889">
        <v>0</v>
      </c>
      <c r="N22" s="918"/>
      <c r="O22" s="889">
        <v>0</v>
      </c>
      <c r="P22" s="918"/>
      <c r="Q22" s="918"/>
      <c r="R22" s="918"/>
      <c r="S22" s="918"/>
      <c r="T22" s="918"/>
      <c r="U22" s="918"/>
      <c r="V22" s="918"/>
      <c r="W22" s="918"/>
      <c r="X22" s="918"/>
      <c r="Y22" s="918"/>
      <c r="Z22" s="918"/>
      <c r="AA22" s="918"/>
      <c r="AB22" s="918"/>
      <c r="AC22" s="618"/>
      <c r="AD22" s="618"/>
      <c r="AE22" s="618"/>
      <c r="AF22" s="618"/>
      <c r="AG22" s="618"/>
      <c r="AH22" s="929"/>
    </row>
    <row r="23" spans="1:34">
      <c r="A23" s="814" t="s">
        <v>19</v>
      </c>
      <c r="B23" s="918" t="s">
        <v>14</v>
      </c>
      <c r="C23" s="680">
        <f>'Exh D Captl Projects State Fed'!C23+'Exh D Captl Projects State Fed'!M23</f>
        <v>0</v>
      </c>
      <c r="D23" s="937"/>
      <c r="E23" s="680">
        <f>'Exh D Captl Projects State Fed'!E23+'Exh D Captl Projects State Fed'!O23</f>
        <v>0</v>
      </c>
      <c r="F23" s="639"/>
      <c r="G23" s="639">
        <f>+'Exh D Captl Projects State Fed'!G23+'Exh D Captl Projects State Fed'!Q23</f>
        <v>181.3</v>
      </c>
      <c r="H23" s="639"/>
      <c r="I23" s="1523">
        <v>0</v>
      </c>
      <c r="J23" s="1523"/>
      <c r="K23" s="1639">
        <f t="shared" si="0"/>
        <v>181.3</v>
      </c>
      <c r="L23" s="1523"/>
      <c r="M23" s="889">
        <v>0</v>
      </c>
      <c r="O23" s="889">
        <v>0</v>
      </c>
    </row>
    <row r="24" spans="1:34">
      <c r="A24" s="814" t="s">
        <v>20</v>
      </c>
      <c r="B24" s="918" t="s">
        <v>14</v>
      </c>
      <c r="C24" s="680">
        <f>'Exh D Captl Projects State Fed'!C24+'Exh D Captl Projects State Fed'!M24</f>
        <v>0</v>
      </c>
      <c r="D24" s="937"/>
      <c r="E24" s="680">
        <f>'Exh D Captl Projects State Fed'!E24+'Exh D Captl Projects State Fed'!O24</f>
        <v>0</v>
      </c>
      <c r="F24" s="639"/>
      <c r="G24" s="639">
        <f>+'Exh D Captl Projects State Fed'!G24+'Exh D Captl Projects State Fed'!Q24</f>
        <v>5.6</v>
      </c>
      <c r="H24" s="639"/>
      <c r="I24" s="1523">
        <v>0</v>
      </c>
      <c r="J24" s="1523"/>
      <c r="K24" s="1639">
        <f t="shared" si="0"/>
        <v>5.6</v>
      </c>
      <c r="L24" s="1523"/>
      <c r="M24" s="889">
        <v>0</v>
      </c>
      <c r="O24" s="889">
        <v>0</v>
      </c>
    </row>
    <row r="25" spans="1:34">
      <c r="A25" s="814" t="s">
        <v>96</v>
      </c>
      <c r="B25" s="918" t="s">
        <v>14</v>
      </c>
      <c r="C25" s="680">
        <f>'Exh D Captl Projects State Fed'!C25+'Exh D Captl Projects State Fed'!M25</f>
        <v>0</v>
      </c>
      <c r="D25" s="1183"/>
      <c r="E25" s="680">
        <f>'Exh D Captl Projects State Fed'!E25+'Exh D Captl Projects State Fed'!O25</f>
        <v>0</v>
      </c>
      <c r="F25" s="639"/>
      <c r="G25" s="655">
        <f>+'Exh D Captl Projects State Fed'!G25+'Exh D Captl Projects State Fed'!Q25</f>
        <v>0</v>
      </c>
      <c r="H25" s="639"/>
      <c r="I25" s="1523">
        <v>0</v>
      </c>
      <c r="J25" s="1523"/>
      <c r="K25" s="655">
        <f t="shared" si="0"/>
        <v>0</v>
      </c>
      <c r="L25" s="1523"/>
      <c r="M25" s="889">
        <f t="shared" ref="M25" si="1">ROUND(SUM(K25)-SUM(C25),1)</f>
        <v>0</v>
      </c>
      <c r="O25" s="889">
        <v>0</v>
      </c>
    </row>
    <row r="26" spans="1:34">
      <c r="A26" s="814" t="s">
        <v>46</v>
      </c>
      <c r="B26" s="918" t="s">
        <v>14</v>
      </c>
      <c r="C26" s="680">
        <f>'Exh D Captl Projects State Fed'!C26+'Exh D Captl Projects State Fed'!M26</f>
        <v>0</v>
      </c>
      <c r="D26" s="937"/>
      <c r="E26" s="680">
        <f>'Exh D Captl Projects State Fed'!E26+'Exh D Captl Projects State Fed'!O26</f>
        <v>0</v>
      </c>
      <c r="F26" s="639"/>
      <c r="G26" s="676">
        <f>+'Exh D Captl Projects State Fed'!G26+'Exh D Captl Projects State Fed'!Q26</f>
        <v>488.9</v>
      </c>
      <c r="H26" s="639"/>
      <c r="I26" s="889">
        <f>'Exhibit I'!AC93</f>
        <v>0</v>
      </c>
      <c r="J26" s="1523"/>
      <c r="K26" s="1639">
        <f t="shared" si="0"/>
        <v>488.9</v>
      </c>
      <c r="L26" s="1523"/>
      <c r="M26" s="889">
        <v>0</v>
      </c>
      <c r="O26" s="889">
        <v>0</v>
      </c>
    </row>
    <row r="27" spans="1:34" ht="18" customHeight="1">
      <c r="A27" s="1115" t="s">
        <v>107</v>
      </c>
      <c r="B27" s="151" t="s">
        <v>14</v>
      </c>
      <c r="C27" s="1866">
        <f>ROUND(SUM(C20:C26),1)</f>
        <v>0</v>
      </c>
      <c r="D27" s="1524"/>
      <c r="E27" s="1866">
        <f>ROUND(SUM(E20:E26),1)</f>
        <v>0</v>
      </c>
      <c r="F27" s="916"/>
      <c r="G27" s="215">
        <f>ROUND(SUM(G20:G26),1)</f>
        <v>760.6</v>
      </c>
      <c r="H27" s="916"/>
      <c r="I27" s="1534">
        <f>ROUND(SUM(I20:I26),1)</f>
        <v>0</v>
      </c>
      <c r="J27" s="916"/>
      <c r="K27" s="1534">
        <f>ROUND(SUM(K20:K26),1)</f>
        <v>760.6</v>
      </c>
      <c r="L27" s="916"/>
      <c r="M27" s="1477">
        <f>ROUND(SUM(M20:M26),1)</f>
        <v>0</v>
      </c>
      <c r="O27" s="215">
        <f>ROUND(SUM(O20:O26),1)</f>
        <v>0</v>
      </c>
    </row>
    <row r="28" spans="1:34">
      <c r="A28" s="684"/>
      <c r="B28" s="918" t="s">
        <v>14</v>
      </c>
      <c r="C28" s="1864"/>
      <c r="D28" s="937"/>
      <c r="E28" s="1864"/>
      <c r="F28" s="639"/>
      <c r="G28" s="682"/>
      <c r="H28" s="639"/>
      <c r="I28" s="1523"/>
      <c r="J28" s="1523"/>
      <c r="K28" s="1523"/>
      <c r="L28" s="1523"/>
      <c r="M28" s="1036" t="s">
        <v>14</v>
      </c>
      <c r="O28" s="682" t="s">
        <v>14</v>
      </c>
    </row>
    <row r="29" spans="1:34">
      <c r="A29" s="29" t="s">
        <v>22</v>
      </c>
      <c r="B29" s="918" t="s">
        <v>14</v>
      </c>
      <c r="C29" s="1523"/>
      <c r="D29" s="937"/>
      <c r="E29" s="1523"/>
      <c r="F29" s="639"/>
      <c r="G29" s="639"/>
      <c r="H29" s="639"/>
      <c r="I29" s="1523"/>
      <c r="J29" s="1523"/>
      <c r="K29" s="1523"/>
      <c r="L29" s="1523"/>
      <c r="M29" s="889"/>
      <c r="O29" s="639"/>
    </row>
    <row r="30" spans="1:34">
      <c r="A30" s="814" t="s">
        <v>92</v>
      </c>
      <c r="B30" s="918" t="s">
        <v>14</v>
      </c>
      <c r="C30" s="680">
        <f>'Exh D Captl Projects State Fed'!C30+'Exh D Captl Projects State Fed'!M30</f>
        <v>0</v>
      </c>
      <c r="D30" s="937"/>
      <c r="E30" s="680">
        <f>'Exh D Captl Projects State Fed'!E30+'Exh D Captl Projects State Fed'!O30</f>
        <v>0</v>
      </c>
      <c r="F30" s="639"/>
      <c r="G30" s="639">
        <f>+'Exh D Captl Projects State Fed'!G30+'Exh D Captl Projects State Fed'!Q30</f>
        <v>331.79999999999995</v>
      </c>
      <c r="H30" s="639"/>
      <c r="I30" s="1523">
        <v>0</v>
      </c>
      <c r="J30" s="1523"/>
      <c r="K30" s="1639">
        <f>+G30+I30</f>
        <v>331.79999999999995</v>
      </c>
      <c r="L30" s="1523"/>
      <c r="M30" s="889">
        <v>0</v>
      </c>
      <c r="O30" s="889">
        <v>0</v>
      </c>
    </row>
    <row r="31" spans="1:34">
      <c r="A31" s="814" t="s">
        <v>41</v>
      </c>
      <c r="B31" s="918" t="s">
        <v>14</v>
      </c>
      <c r="C31" s="680">
        <f>'Exh D Captl Projects State Fed'!C31+'Exh D Captl Projects State Fed'!M31</f>
        <v>0</v>
      </c>
      <c r="D31" s="1183"/>
      <c r="E31" s="680">
        <f>'Exh D Captl Projects State Fed'!E31+'Exh D Captl Projects State Fed'!O31</f>
        <v>0</v>
      </c>
      <c r="F31" s="639"/>
      <c r="G31" s="639">
        <f>+'Exh D Captl Projects State Fed'!G31+'Exh D Captl Projects State Fed'!Q31</f>
        <v>398.20000000000005</v>
      </c>
      <c r="H31" s="639"/>
      <c r="I31" s="1523">
        <v>0</v>
      </c>
      <c r="J31" s="1523"/>
      <c r="K31" s="1639">
        <f>+G31+I31</f>
        <v>398.20000000000005</v>
      </c>
      <c r="L31" s="1523"/>
      <c r="M31" s="889">
        <v>0</v>
      </c>
      <c r="O31" s="889">
        <v>0</v>
      </c>
    </row>
    <row r="32" spans="1:34">
      <c r="A32" s="814" t="s">
        <v>97</v>
      </c>
      <c r="B32" s="918" t="s">
        <v>14</v>
      </c>
      <c r="C32" s="680">
        <f>'Exh D Captl Projects State Fed'!C32+'Exh D Captl Projects State Fed'!M32</f>
        <v>0</v>
      </c>
      <c r="D32" s="937"/>
      <c r="E32" s="680">
        <f>'Exh D Captl Projects State Fed'!E32+'Exh D Captl Projects State Fed'!O32</f>
        <v>0</v>
      </c>
      <c r="F32" s="639"/>
      <c r="G32" s="639">
        <f>+'Exh D Captl Projects State Fed'!G32+'Exh D Captl Projects State Fed'!Q32</f>
        <v>8.4</v>
      </c>
      <c r="H32" s="639"/>
      <c r="I32" s="889">
        <f>-'Exhibit I'!AC94</f>
        <v>0</v>
      </c>
      <c r="J32" s="1523"/>
      <c r="K32" s="1639">
        <f>+G32+I32</f>
        <v>8.4</v>
      </c>
      <c r="L32" s="1523"/>
      <c r="M32" s="889">
        <v>0</v>
      </c>
      <c r="O32" s="889">
        <v>0</v>
      </c>
    </row>
    <row r="33" spans="1:34" ht="18" customHeight="1">
      <c r="A33" s="1115" t="s">
        <v>116</v>
      </c>
      <c r="B33" s="151" t="s">
        <v>14</v>
      </c>
      <c r="C33" s="1866">
        <f>ROUND(SUM(C30:C32),1)</f>
        <v>0</v>
      </c>
      <c r="D33" s="1524"/>
      <c r="E33" s="1866">
        <f>ROUND(SUM(E30:E32),1)</f>
        <v>0</v>
      </c>
      <c r="F33" s="916"/>
      <c r="G33" s="215">
        <f>ROUND(SUM(G30:G32),1)</f>
        <v>738.4</v>
      </c>
      <c r="H33" s="916"/>
      <c r="I33" s="1534">
        <f>ROUND(SUM(I30:I32),1)</f>
        <v>0</v>
      </c>
      <c r="J33" s="916"/>
      <c r="K33" s="1534">
        <f>ROUND(SUM(K30:K32),1)</f>
        <v>738.4</v>
      </c>
      <c r="L33" s="916"/>
      <c r="M33" s="1477">
        <f>ROUND(SUM(M30:M32),1)</f>
        <v>0</v>
      </c>
      <c r="O33" s="215">
        <f>ROUND(SUM(O30:O32),1)</f>
        <v>0</v>
      </c>
    </row>
    <row r="34" spans="1:34">
      <c r="A34" s="684"/>
      <c r="B34" s="918" t="s">
        <v>14</v>
      </c>
      <c r="C34" s="1864"/>
      <c r="D34" s="937"/>
      <c r="E34" s="1864"/>
      <c r="F34" s="639"/>
      <c r="G34" s="682"/>
      <c r="H34" s="639"/>
      <c r="I34" s="1523"/>
      <c r="J34" s="1523"/>
      <c r="K34" s="1523"/>
      <c r="L34" s="1523"/>
      <c r="M34" s="1036"/>
      <c r="O34" s="682"/>
    </row>
    <row r="35" spans="1:34">
      <c r="A35" s="29" t="s">
        <v>99</v>
      </c>
      <c r="B35" s="918"/>
      <c r="C35" s="1523"/>
      <c r="D35" s="937"/>
      <c r="E35" s="1523"/>
      <c r="F35" s="639"/>
      <c r="G35" s="639"/>
      <c r="H35" s="639"/>
      <c r="I35" s="1523"/>
      <c r="J35" s="1523"/>
      <c r="K35" s="1523"/>
      <c r="L35" s="1523"/>
      <c r="M35" s="889"/>
      <c r="O35" s="639"/>
    </row>
    <row r="36" spans="1:34">
      <c r="A36" s="29" t="s">
        <v>100</v>
      </c>
      <c r="B36" s="918"/>
      <c r="C36" s="1523"/>
      <c r="D36" s="937"/>
      <c r="E36" s="1523"/>
      <c r="F36" s="639"/>
      <c r="G36" s="639"/>
      <c r="H36" s="639"/>
      <c r="I36" s="1523"/>
      <c r="J36" s="1523"/>
      <c r="K36" s="1523"/>
      <c r="L36" s="1523"/>
      <c r="M36" s="889"/>
      <c r="O36" s="639"/>
    </row>
    <row r="37" spans="1:34">
      <c r="A37" s="1115" t="s">
        <v>101</v>
      </c>
      <c r="B37" s="174" t="s">
        <v>14</v>
      </c>
      <c r="C37" s="1524">
        <f>ROUND(SUM(C27)-SUM(C33),1)</f>
        <v>0</v>
      </c>
      <c r="D37" s="1524"/>
      <c r="E37" s="1524">
        <f>ROUND(SUM(E27)-SUM(E33),1)</f>
        <v>0</v>
      </c>
      <c r="F37" s="84"/>
      <c r="G37" s="76">
        <f>ROUND(SUM(G27)-SUM(G33),1)</f>
        <v>22.2</v>
      </c>
      <c r="H37" s="84"/>
      <c r="I37" s="84">
        <v>0</v>
      </c>
      <c r="J37" s="84"/>
      <c r="K37" s="1524">
        <f>ROUND(SUM(K27)-SUM(K33),1)</f>
        <v>22.2</v>
      </c>
      <c r="L37" s="84"/>
      <c r="M37" s="115">
        <f>ROUND(SUM(M27)-SUM(M33),1)</f>
        <v>0</v>
      </c>
      <c r="N37" s="618"/>
      <c r="O37" s="76">
        <f>ROUND(SUM(O27)-SUM(O33),1)</f>
        <v>0</v>
      </c>
    </row>
    <row r="38" spans="1:34">
      <c r="B38" s="618"/>
      <c r="C38" s="665"/>
      <c r="D38" s="1524"/>
      <c r="E38" s="665"/>
      <c r="F38" s="926"/>
      <c r="G38" s="665"/>
      <c r="H38" s="926"/>
      <c r="I38" s="926"/>
      <c r="J38" s="926"/>
      <c r="K38" s="665"/>
      <c r="L38" s="926"/>
      <c r="M38" s="1478"/>
      <c r="O38" s="665"/>
    </row>
    <row r="39" spans="1:34">
      <c r="A39" s="1115" t="str">
        <f>+'Exh D-Governmental  '!A49</f>
        <v>Fund Balances (Deficits) at April 1</v>
      </c>
      <c r="B39" s="928" t="s">
        <v>14</v>
      </c>
      <c r="C39" s="1870">
        <f>'Exh D Captl Projects State Fed'!C39+'Exh D Captl Projects State Fed'!M39</f>
        <v>0</v>
      </c>
      <c r="D39" s="1524"/>
      <c r="E39" s="1870">
        <v>0</v>
      </c>
      <c r="F39" s="926"/>
      <c r="G39" s="76">
        <f>'Exhibit I'!E15</f>
        <v>-1144</v>
      </c>
      <c r="H39" s="926"/>
      <c r="I39" s="3057">
        <v>0</v>
      </c>
      <c r="J39" s="926"/>
      <c r="K39" s="1872">
        <f>+G39+I39</f>
        <v>-1144</v>
      </c>
      <c r="L39" s="926"/>
      <c r="M39" s="1635">
        <v>0</v>
      </c>
      <c r="N39" s="618"/>
      <c r="O39" s="1635">
        <v>0</v>
      </c>
      <c r="P39" s="618"/>
      <c r="Q39" s="618"/>
      <c r="R39" s="618"/>
      <c r="S39" s="618"/>
      <c r="T39" s="618"/>
      <c r="U39" s="618"/>
      <c r="V39" s="618"/>
      <c r="W39" s="618"/>
      <c r="X39" s="618"/>
      <c r="Y39" s="618"/>
      <c r="Z39" s="618"/>
      <c r="AA39" s="618"/>
      <c r="AB39" s="618"/>
      <c r="AC39" s="618"/>
      <c r="AD39" s="618"/>
      <c r="AE39" s="618"/>
      <c r="AF39" s="618"/>
      <c r="AG39" s="618"/>
      <c r="AH39" s="929"/>
    </row>
    <row r="40" spans="1:34" ht="16" thickBot="1">
      <c r="A40" s="1373" t="str">
        <f>+'Exh D-Governmental  '!A50</f>
        <v>Fund Balances (Deficits) at April 30, 2021</v>
      </c>
      <c r="B40" s="180" t="s">
        <v>14</v>
      </c>
      <c r="C40" s="98">
        <f>ROUND(SUM(C37:C39),1)</f>
        <v>0</v>
      </c>
      <c r="D40" s="219"/>
      <c r="E40" s="98">
        <f>ROUND(SUM(E37:E39),1)</f>
        <v>0</v>
      </c>
      <c r="F40" s="181"/>
      <c r="G40" s="98">
        <f>ROUND(SUM(G37:G39),1)</f>
        <v>-1121.8</v>
      </c>
      <c r="H40" s="181"/>
      <c r="I40" s="98">
        <f>ROUND(SUM(I37:I39),1)</f>
        <v>0</v>
      </c>
      <c r="J40" s="181"/>
      <c r="K40" s="98">
        <f>ROUND(SUM(K37:K39),1)</f>
        <v>-1121.8</v>
      </c>
      <c r="L40" s="181"/>
      <c r="M40" s="1479">
        <f>ROUND(SUM(M37:M39),1)</f>
        <v>0</v>
      </c>
      <c r="N40" s="618"/>
      <c r="O40" s="98">
        <f>ROUND(SUM(O37:O39),1)</f>
        <v>0</v>
      </c>
      <c r="P40" s="618"/>
      <c r="Q40" s="618"/>
      <c r="R40" s="618"/>
      <c r="S40" s="618"/>
      <c r="T40" s="618"/>
      <c r="U40" s="618"/>
      <c r="V40" s="618"/>
      <c r="W40" s="618"/>
      <c r="X40" s="618"/>
      <c r="Y40" s="618"/>
      <c r="Z40" s="618"/>
      <c r="AA40" s="618"/>
      <c r="AB40" s="618"/>
      <c r="AC40" s="618"/>
      <c r="AD40" s="618"/>
      <c r="AE40" s="618"/>
      <c r="AF40" s="618"/>
      <c r="AG40" s="618"/>
      <c r="AH40" s="929"/>
    </row>
    <row r="41" spans="1:34" ht="16" thickTop="1">
      <c r="B41" s="618"/>
      <c r="C41" s="618"/>
      <c r="D41" s="618"/>
      <c r="E41" s="618"/>
      <c r="G41" s="952"/>
    </row>
    <row r="42" spans="1:34">
      <c r="A42" s="2128" t="str">
        <f>'Exh D-Governmental  '!A52</f>
        <v>(*)    Due to the absence of the 2021-22 Enacted Budget Financial Plan, the "Financial Plan Cashflow" is not available;</v>
      </c>
      <c r="B42" s="618"/>
      <c r="D42" s="618"/>
    </row>
    <row r="43" spans="1:34" s="987" customFormat="1">
      <c r="A43" s="2128" t="str">
        <f>'Exh D-Governmental  '!A53</f>
        <v xml:space="preserve">        therefore no Plan-to-Actual comparison can be made for the period ending April 30, 2021.</v>
      </c>
      <c r="B43" s="1933"/>
      <c r="C43" s="426"/>
      <c r="D43" s="1933"/>
      <c r="E43" s="426"/>
      <c r="F43" s="945"/>
      <c r="G43" s="1636"/>
      <c r="H43" s="1634"/>
      <c r="I43" s="1634"/>
      <c r="J43" s="1634"/>
      <c r="K43" s="1634"/>
      <c r="L43" s="1634"/>
      <c r="M43" s="1636"/>
      <c r="N43" s="1634"/>
      <c r="O43" s="3581"/>
      <c r="P43" s="945"/>
      <c r="Q43" s="945"/>
      <c r="R43" s="945"/>
      <c r="S43" s="945"/>
    </row>
    <row r="44" spans="1:34">
      <c r="A44" s="1491"/>
      <c r="B44" s="618"/>
      <c r="D44" s="618"/>
    </row>
    <row r="45" spans="1:34">
      <c r="A45" s="1491"/>
      <c r="B45" s="618"/>
      <c r="D45" s="618"/>
    </row>
    <row r="46" spans="1:34">
      <c r="A46" s="1045"/>
      <c r="B46" s="618"/>
      <c r="D46" s="618"/>
    </row>
    <row r="47" spans="1:34">
      <c r="A47" s="183"/>
      <c r="B47" s="618"/>
      <c r="D47" s="618"/>
    </row>
    <row r="48" spans="1:34">
      <c r="B48" s="618"/>
      <c r="D48" s="618"/>
    </row>
    <row r="49" spans="2:2">
      <c r="B49" s="618"/>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workbookViewId="0"/>
  </sheetViews>
  <sheetFormatPr defaultColWidth="8.765625" defaultRowHeight="15.5"/>
  <cols>
    <col min="1" max="1" width="51.765625" style="925" customWidth="1"/>
    <col min="2" max="2" width="2.07421875" style="929" customWidth="1"/>
    <col min="3" max="3" width="15.765625" style="425" customWidth="1"/>
    <col min="4" max="4" width="1.07421875" style="929" customWidth="1"/>
    <col min="5" max="5" width="15.765625" style="425" customWidth="1"/>
    <col min="6" max="6" width="1.07421875" style="929" customWidth="1"/>
    <col min="7" max="7" width="15.765625" style="929" customWidth="1"/>
    <col min="8" max="8" width="0.765625" style="929" customWidth="1"/>
    <col min="9" max="9" width="19.4609375" style="929" customWidth="1"/>
    <col min="10" max="10" width="1.07421875" style="618" customWidth="1"/>
    <col min="11" max="11" width="19.4609375" style="929" customWidth="1"/>
    <col min="12" max="12" width="1.07421875" style="929" customWidth="1"/>
    <col min="13" max="13" width="15.765625" style="618" customWidth="1"/>
    <col min="14" max="14" width="1.07421875" style="618" customWidth="1"/>
    <col min="15" max="15" width="15.765625" style="618" customWidth="1"/>
    <col min="16" max="16" width="1.07421875" style="618" customWidth="1"/>
    <col min="17" max="17" width="15.765625" style="618" customWidth="1"/>
    <col min="18" max="18" width="1.07421875" style="618" customWidth="1"/>
    <col min="19" max="19" width="15.765625" style="618" customWidth="1"/>
    <col min="20" max="20" width="1.765625" style="618" customWidth="1"/>
    <col min="21" max="21" width="15.765625" style="425" customWidth="1"/>
    <col min="22" max="22" width="0.765625" style="618" customWidth="1"/>
    <col min="23" max="23" width="15.765625" style="425" customWidth="1"/>
    <col min="24" max="24" width="1.07421875" style="618" customWidth="1"/>
    <col min="25" max="25" width="15.765625" style="618" customWidth="1"/>
    <col min="26" max="26" width="1" style="618" customWidth="1"/>
    <col min="27" max="27" width="15.765625" style="618" customWidth="1"/>
    <col min="28" max="28" width="3.765625" style="929" bestFit="1" customWidth="1"/>
    <col min="29" max="33" width="8.765625" style="929"/>
    <col min="34" max="16384" width="8.765625" style="925"/>
  </cols>
  <sheetData>
    <row r="1" spans="1:48">
      <c r="A1" s="931" t="s">
        <v>885</v>
      </c>
    </row>
    <row r="2" spans="1:48" ht="16.5">
      <c r="A2" s="185"/>
      <c r="B2" s="187"/>
      <c r="C2" s="419"/>
      <c r="D2" s="187"/>
      <c r="E2" s="419"/>
      <c r="F2" s="187"/>
      <c r="G2" s="187"/>
      <c r="H2" s="187"/>
      <c r="I2" s="187"/>
      <c r="J2" s="186"/>
      <c r="K2" s="187"/>
      <c r="L2" s="187"/>
      <c r="M2" s="186"/>
      <c r="N2" s="186"/>
      <c r="O2" s="186"/>
      <c r="P2" s="186"/>
      <c r="Q2" s="186"/>
      <c r="R2" s="186"/>
      <c r="S2" s="186"/>
      <c r="T2" s="186"/>
      <c r="U2" s="1176"/>
      <c r="V2" s="186"/>
      <c r="W2" s="1176"/>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16"/>
      <c r="T3" s="156"/>
      <c r="U3" s="816" t="s">
        <v>82</v>
      </c>
      <c r="V3" s="156"/>
      <c r="W3" s="1178"/>
      <c r="X3" s="156"/>
      <c r="Y3" s="156"/>
      <c r="Z3" s="156"/>
      <c r="AA3" s="1179"/>
    </row>
    <row r="4" spans="1:48" ht="17.25" customHeight="1">
      <c r="A4" s="191" t="s">
        <v>1107</v>
      </c>
      <c r="B4" s="148"/>
      <c r="C4" s="421"/>
      <c r="D4" s="143"/>
      <c r="E4" s="421"/>
      <c r="F4" s="143"/>
      <c r="G4" s="143"/>
      <c r="H4" s="143"/>
      <c r="I4" s="143"/>
      <c r="J4" s="156"/>
      <c r="K4" s="143"/>
      <c r="L4" s="143"/>
      <c r="M4" s="156"/>
      <c r="N4" s="156"/>
      <c r="O4" s="156"/>
      <c r="P4" s="156"/>
      <c r="Q4" s="156"/>
      <c r="R4" s="156"/>
      <c r="S4" s="817"/>
      <c r="T4" s="156"/>
      <c r="U4" s="817"/>
      <c r="V4" s="156"/>
      <c r="W4" s="1178"/>
      <c r="X4" s="156"/>
      <c r="Y4" s="156"/>
      <c r="Z4" s="156"/>
      <c r="AA4" s="1180"/>
    </row>
    <row r="5" spans="1:48" ht="17.25" customHeight="1">
      <c r="A5" s="3925" t="str">
        <f>'Exh D-Governmental  '!A5:E5</f>
        <v>FISCAL YEAR 2021-2022</v>
      </c>
      <c r="B5" s="3926"/>
      <c r="C5" s="3926"/>
      <c r="D5" s="3926"/>
      <c r="E5" s="3926"/>
      <c r="F5" s="143"/>
      <c r="G5" s="143"/>
      <c r="H5" s="143"/>
      <c r="I5" s="143"/>
      <c r="J5" s="156"/>
      <c r="K5" s="143"/>
      <c r="L5" s="143"/>
      <c r="M5" s="156"/>
      <c r="N5" s="156"/>
      <c r="O5" s="156"/>
      <c r="P5" s="156"/>
      <c r="Q5" s="156"/>
      <c r="R5" s="156"/>
      <c r="S5" s="156"/>
      <c r="T5" s="156"/>
      <c r="U5" s="1178"/>
      <c r="V5" s="156"/>
      <c r="W5" s="1178"/>
      <c r="X5" s="156"/>
      <c r="Y5" s="156"/>
      <c r="Z5" s="156"/>
      <c r="AA5" s="156"/>
    </row>
    <row r="6" spans="1:48" ht="17.25" customHeight="1">
      <c r="A6" s="1467" t="str">
        <f>'Exh D-Governmental  '!A6</f>
        <v xml:space="preserve">FOR ONE MONTH ENDED APRIL 30, 2021    </v>
      </c>
      <c r="B6" s="147"/>
      <c r="C6" s="421"/>
      <c r="D6" s="143"/>
      <c r="E6" s="421"/>
      <c r="F6" s="143"/>
      <c r="G6" s="143"/>
      <c r="H6" s="143"/>
      <c r="I6" s="143"/>
      <c r="J6" s="156"/>
      <c r="K6" s="143"/>
      <c r="L6" s="143"/>
      <c r="M6" s="156"/>
      <c r="N6" s="156"/>
      <c r="O6" s="156"/>
      <c r="P6" s="156"/>
      <c r="Q6" s="156"/>
      <c r="R6" s="156"/>
      <c r="S6" s="156"/>
      <c r="T6" s="156"/>
      <c r="U6" s="1178"/>
      <c r="V6" s="156"/>
      <c r="W6" s="1178"/>
      <c r="X6" s="156"/>
      <c r="Y6" s="156"/>
      <c r="Z6" s="156"/>
      <c r="AA6" s="156"/>
      <c r="AB6" s="143"/>
      <c r="AC6" s="156"/>
      <c r="AD6" s="156"/>
      <c r="AE6" s="156"/>
      <c r="AF6" s="156"/>
      <c r="AG6" s="156"/>
      <c r="AH6" s="156"/>
      <c r="AI6" s="156"/>
      <c r="AJ6" s="156"/>
      <c r="AK6" s="156"/>
      <c r="AL6" s="156"/>
      <c r="AM6" s="156"/>
      <c r="AN6" s="156"/>
      <c r="AO6" s="156"/>
      <c r="AP6" s="156"/>
      <c r="AQ6" s="618"/>
      <c r="AR6" s="618"/>
      <c r="AS6" s="618"/>
      <c r="AT6" s="618"/>
      <c r="AU6" s="618"/>
      <c r="AV6" s="929"/>
    </row>
    <row r="7" spans="1:48" ht="18">
      <c r="A7" s="191" t="s">
        <v>1281</v>
      </c>
      <c r="B7" s="148"/>
      <c r="C7" s="421"/>
      <c r="D7" s="143"/>
      <c r="E7" s="421"/>
      <c r="F7" s="143"/>
      <c r="G7" s="143"/>
      <c r="H7" s="143"/>
      <c r="I7" s="143"/>
      <c r="J7" s="156"/>
      <c r="K7" s="143"/>
      <c r="L7" s="143"/>
      <c r="M7" s="156"/>
      <c r="N7" s="156"/>
      <c r="O7" s="156"/>
      <c r="P7" s="156"/>
      <c r="Q7" s="156"/>
      <c r="R7" s="156"/>
      <c r="S7" s="156"/>
      <c r="T7" s="156"/>
      <c r="U7" s="1178"/>
      <c r="V7" s="156"/>
      <c r="W7" s="1178"/>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78"/>
      <c r="V8" s="156"/>
      <c r="W8" s="1178"/>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78"/>
      <c r="V9" s="156"/>
      <c r="W9" s="1178"/>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58"/>
      <c r="V10" s="147"/>
      <c r="W10" s="958"/>
      <c r="X10" s="147"/>
      <c r="Y10" s="147"/>
      <c r="Z10" s="147"/>
      <c r="AA10" s="147"/>
      <c r="AB10" s="945"/>
    </row>
    <row r="11" spans="1:48">
      <c r="A11" s="684"/>
      <c r="B11" s="151"/>
      <c r="C11" s="3927" t="s">
        <v>1050</v>
      </c>
      <c r="D11" s="3927"/>
      <c r="E11" s="3927"/>
      <c r="F11" s="3927"/>
      <c r="G11" s="3927"/>
      <c r="H11" s="3927"/>
      <c r="I11" s="3927"/>
      <c r="J11" s="1172"/>
      <c r="K11" s="1172"/>
      <c r="L11" s="205"/>
      <c r="M11" s="3927" t="s">
        <v>1051</v>
      </c>
      <c r="N11" s="3927"/>
      <c r="O11" s="3927"/>
      <c r="P11" s="3927"/>
      <c r="Q11" s="3927"/>
      <c r="R11" s="3927"/>
      <c r="S11" s="3927"/>
      <c r="T11" s="1185"/>
      <c r="U11" s="1410"/>
      <c r="V11" s="1410"/>
      <c r="W11" s="196"/>
      <c r="X11" s="196"/>
      <c r="Y11" s="196"/>
      <c r="Z11" s="196"/>
      <c r="AA11" s="196"/>
      <c r="AB11" s="945"/>
    </row>
    <row r="12" spans="1:48">
      <c r="A12" s="684"/>
      <c r="B12" s="151"/>
      <c r="C12" s="427"/>
      <c r="D12" s="152"/>
      <c r="E12" s="427"/>
      <c r="F12" s="152"/>
      <c r="G12" s="152"/>
      <c r="H12" s="152"/>
      <c r="I12" s="206" t="s">
        <v>83</v>
      </c>
      <c r="J12" s="206"/>
      <c r="K12" s="206" t="s">
        <v>83</v>
      </c>
      <c r="L12" s="932"/>
      <c r="M12" s="427"/>
      <c r="N12" s="152"/>
      <c r="O12" s="427"/>
      <c r="P12" s="152"/>
      <c r="Q12" s="152"/>
      <c r="R12" s="152"/>
      <c r="S12" s="206" t="s">
        <v>83</v>
      </c>
      <c r="T12" s="151"/>
      <c r="U12" s="206" t="s">
        <v>83</v>
      </c>
      <c r="V12" s="151"/>
      <c r="W12" s="974"/>
      <c r="X12" s="151"/>
      <c r="Y12" s="151"/>
      <c r="Z12" s="151"/>
      <c r="AA12" s="206"/>
    </row>
    <row r="13" spans="1:48">
      <c r="A13" s="684"/>
      <c r="B13" s="151"/>
      <c r="C13" s="427"/>
      <c r="D13" s="152"/>
      <c r="E13" s="427"/>
      <c r="F13" s="152"/>
      <c r="G13" s="152"/>
      <c r="H13" s="152"/>
      <c r="I13" s="153" t="s">
        <v>798</v>
      </c>
      <c r="J13" s="201"/>
      <c r="K13" s="153" t="s">
        <v>798</v>
      </c>
      <c r="L13" s="932"/>
      <c r="M13" s="427"/>
      <c r="N13" s="152"/>
      <c r="O13" s="427"/>
      <c r="P13" s="152"/>
      <c r="Q13" s="152"/>
      <c r="R13" s="152"/>
      <c r="S13" s="153" t="s">
        <v>798</v>
      </c>
      <c r="T13" s="151"/>
      <c r="U13" s="153" t="s">
        <v>798</v>
      </c>
      <c r="V13" s="151"/>
      <c r="W13" s="974"/>
      <c r="X13" s="151"/>
      <c r="Y13" s="151"/>
      <c r="Z13" s="151"/>
      <c r="AA13" s="201"/>
    </row>
    <row r="14" spans="1:48" ht="15.75" customHeight="1">
      <c r="A14" s="684"/>
      <c r="B14" s="151"/>
      <c r="C14" s="154" t="s">
        <v>994</v>
      </c>
      <c r="D14" s="925"/>
      <c r="E14" s="154" t="s">
        <v>995</v>
      </c>
      <c r="F14" s="152"/>
      <c r="G14" s="152"/>
      <c r="H14" s="152"/>
      <c r="I14" s="153" t="s">
        <v>84</v>
      </c>
      <c r="J14" s="201"/>
      <c r="K14" s="153" t="s">
        <v>84</v>
      </c>
      <c r="L14" s="932"/>
      <c r="M14" s="154" t="s">
        <v>994</v>
      </c>
      <c r="N14" s="925"/>
      <c r="O14" s="154" t="s">
        <v>995</v>
      </c>
      <c r="P14" s="152"/>
      <c r="Q14" s="152"/>
      <c r="R14" s="152"/>
      <c r="S14" s="153" t="s">
        <v>84</v>
      </c>
      <c r="T14" s="202"/>
      <c r="U14" s="153" t="s">
        <v>84</v>
      </c>
      <c r="V14" s="685"/>
      <c r="W14" s="200"/>
      <c r="X14" s="151"/>
      <c r="Y14" s="151"/>
      <c r="Z14" s="151"/>
      <c r="AA14" s="201"/>
    </row>
    <row r="15" spans="1:48" ht="15.75" customHeight="1">
      <c r="A15" s="684"/>
      <c r="B15" s="151"/>
      <c r="C15" s="153" t="s">
        <v>1031</v>
      </c>
      <c r="D15" s="152"/>
      <c r="E15" s="153" t="s">
        <v>1031</v>
      </c>
      <c r="F15" s="152"/>
      <c r="G15" s="152"/>
      <c r="H15" s="152"/>
      <c r="I15" s="153" t="s">
        <v>994</v>
      </c>
      <c r="J15" s="200"/>
      <c r="K15" s="154" t="s">
        <v>995</v>
      </c>
      <c r="L15" s="975"/>
      <c r="M15" s="153" t="s">
        <v>1031</v>
      </c>
      <c r="N15" s="152"/>
      <c r="O15" s="153" t="s">
        <v>1031</v>
      </c>
      <c r="P15" s="152"/>
      <c r="Q15" s="152"/>
      <c r="R15" s="152"/>
      <c r="S15" s="153" t="s">
        <v>994</v>
      </c>
      <c r="T15" s="202"/>
      <c r="U15" s="154" t="s">
        <v>995</v>
      </c>
      <c r="V15" s="151"/>
      <c r="W15" s="201"/>
      <c r="X15" s="151"/>
      <c r="Y15" s="151"/>
      <c r="Z15" s="151"/>
      <c r="AA15" s="200"/>
    </row>
    <row r="16" spans="1:48">
      <c r="A16" s="684"/>
      <c r="B16" s="151"/>
      <c r="C16" s="153" t="s">
        <v>1032</v>
      </c>
      <c r="D16" s="152"/>
      <c r="E16" s="153" t="s">
        <v>1433</v>
      </c>
      <c r="F16" s="152"/>
      <c r="G16" s="154" t="s">
        <v>83</v>
      </c>
      <c r="H16" s="152"/>
      <c r="I16" s="153" t="s">
        <v>85</v>
      </c>
      <c r="J16" s="201"/>
      <c r="K16" s="153" t="s">
        <v>85</v>
      </c>
      <c r="L16" s="932"/>
      <c r="M16" s="153" t="s">
        <v>1032</v>
      </c>
      <c r="N16" s="152"/>
      <c r="O16" s="153" t="s">
        <v>1433</v>
      </c>
      <c r="P16" s="152"/>
      <c r="Q16" s="154" t="s">
        <v>83</v>
      </c>
      <c r="R16" s="152"/>
      <c r="S16" s="153" t="s">
        <v>85</v>
      </c>
      <c r="T16" s="201"/>
      <c r="U16" s="153" t="s">
        <v>85</v>
      </c>
      <c r="V16" s="151"/>
      <c r="W16" s="201"/>
      <c r="X16" s="151"/>
      <c r="Y16" s="200"/>
      <c r="Z16" s="151"/>
      <c r="AA16" s="201"/>
    </row>
    <row r="17" spans="1:48">
      <c r="A17" s="155"/>
      <c r="B17" s="156"/>
      <c r="C17" s="157"/>
      <c r="D17" s="143"/>
      <c r="E17" s="157"/>
      <c r="F17" s="143"/>
      <c r="G17" s="157"/>
      <c r="H17" s="143"/>
      <c r="I17" s="157"/>
      <c r="J17" s="156"/>
      <c r="K17" s="157"/>
      <c r="L17" s="933"/>
      <c r="M17" s="157"/>
      <c r="N17" s="143"/>
      <c r="O17" s="157"/>
      <c r="P17" s="143"/>
      <c r="Q17" s="157"/>
      <c r="R17" s="143"/>
      <c r="S17" s="157"/>
      <c r="T17" s="156"/>
      <c r="U17" s="157"/>
      <c r="V17" s="156"/>
      <c r="W17" s="156"/>
      <c r="X17" s="156"/>
      <c r="Y17" s="156"/>
      <c r="Z17" s="156"/>
      <c r="AA17" s="156"/>
    </row>
    <row r="18" spans="1:48">
      <c r="A18" s="29" t="s">
        <v>13</v>
      </c>
      <c r="B18" s="918"/>
      <c r="C18" s="653"/>
      <c r="D18" s="653"/>
      <c r="E18" s="653"/>
      <c r="F18" s="653"/>
      <c r="G18" s="809" t="s">
        <v>14</v>
      </c>
      <c r="H18" s="653"/>
      <c r="I18" s="653"/>
      <c r="J18" s="918"/>
      <c r="K18" s="653"/>
      <c r="L18" s="934"/>
      <c r="M18" s="653"/>
      <c r="N18" s="653"/>
      <c r="O18" s="653"/>
      <c r="P18" s="653"/>
      <c r="Q18" s="653" t="s">
        <v>14</v>
      </c>
      <c r="R18" s="653"/>
      <c r="S18" s="653"/>
      <c r="T18" s="918"/>
      <c r="U18" s="653"/>
      <c r="V18" s="918"/>
      <c r="W18" s="918"/>
      <c r="X18" s="918"/>
      <c r="Y18" s="918"/>
      <c r="Z18" s="918"/>
      <c r="AA18" s="918"/>
    </row>
    <row r="19" spans="1:48">
      <c r="A19" s="814" t="s">
        <v>86</v>
      </c>
      <c r="B19" s="919" t="s">
        <v>14</v>
      </c>
      <c r="C19" s="654"/>
      <c r="D19" s="656"/>
      <c r="E19" s="654"/>
      <c r="F19" s="656"/>
      <c r="G19" s="654"/>
      <c r="H19" s="656"/>
      <c r="I19" s="654"/>
      <c r="J19" s="965"/>
      <c r="K19" s="654"/>
      <c r="L19" s="946"/>
      <c r="M19" s="654"/>
      <c r="N19" s="654"/>
      <c r="O19" s="654"/>
      <c r="P19" s="654"/>
      <c r="Q19" s="947"/>
      <c r="R19" s="656"/>
      <c r="S19" s="654"/>
      <c r="T19" s="656"/>
      <c r="U19" s="654"/>
      <c r="V19" s="965"/>
      <c r="W19" s="965"/>
      <c r="X19" s="965"/>
      <c r="Y19" s="1186"/>
      <c r="Z19" s="963"/>
      <c r="AA19" s="965"/>
      <c r="AB19" s="918"/>
      <c r="AC19" s="918"/>
      <c r="AD19" s="918"/>
      <c r="AE19" s="918"/>
      <c r="AF19" s="918"/>
      <c r="AG19" s="918"/>
      <c r="AH19" s="918"/>
      <c r="AI19" s="918"/>
      <c r="AJ19" s="918"/>
      <c r="AK19" s="918"/>
      <c r="AL19" s="918"/>
      <c r="AM19" s="918"/>
      <c r="AN19" s="918"/>
      <c r="AO19" s="918"/>
      <c r="AP19" s="918"/>
      <c r="AQ19" s="618"/>
      <c r="AR19" s="618"/>
      <c r="AS19" s="618"/>
      <c r="AT19" s="618"/>
      <c r="AU19" s="618"/>
      <c r="AV19" s="929"/>
    </row>
    <row r="20" spans="1:48">
      <c r="A20" s="814" t="s">
        <v>88</v>
      </c>
      <c r="B20" s="918" t="s">
        <v>14</v>
      </c>
      <c r="C20" s="2047">
        <v>0</v>
      </c>
      <c r="D20" s="654"/>
      <c r="E20" s="2047">
        <v>0</v>
      </c>
      <c r="F20" s="654"/>
      <c r="G20" s="935">
        <f>+'Exhibit I State'!AD22</f>
        <v>43.5</v>
      </c>
      <c r="H20" s="654"/>
      <c r="I20" s="654">
        <v>0</v>
      </c>
      <c r="J20" s="965"/>
      <c r="K20" s="654">
        <v>0</v>
      </c>
      <c r="L20" s="946"/>
      <c r="M20" s="2047">
        <v>0</v>
      </c>
      <c r="N20" s="2047"/>
      <c r="O20" s="2047">
        <v>0</v>
      </c>
      <c r="P20" s="657"/>
      <c r="Q20" s="935">
        <v>0</v>
      </c>
      <c r="R20" s="657"/>
      <c r="S20" s="654">
        <f t="shared" ref="S20:S26" si="0">ROUND(SUM(Q20)-SUM(M20),1)</f>
        <v>0</v>
      </c>
      <c r="T20" s="965"/>
      <c r="U20" s="654">
        <v>0</v>
      </c>
      <c r="V20" s="1187"/>
      <c r="W20" s="964"/>
      <c r="X20" s="1187"/>
      <c r="Y20" s="964"/>
      <c r="Z20" s="1187"/>
      <c r="AA20" s="965"/>
      <c r="AB20" s="918"/>
      <c r="AC20" s="918"/>
      <c r="AD20" s="918"/>
      <c r="AE20" s="918"/>
      <c r="AF20" s="918"/>
      <c r="AG20" s="918"/>
      <c r="AH20" s="918"/>
      <c r="AI20" s="918"/>
      <c r="AJ20" s="918"/>
      <c r="AK20" s="918"/>
      <c r="AL20" s="918"/>
      <c r="AM20" s="918"/>
      <c r="AN20" s="918"/>
      <c r="AO20" s="918"/>
      <c r="AP20" s="918"/>
      <c r="AQ20" s="618"/>
      <c r="AR20" s="618"/>
      <c r="AS20" s="618"/>
      <c r="AT20" s="618"/>
      <c r="AU20" s="618"/>
      <c r="AV20" s="929"/>
    </row>
    <row r="21" spans="1:48">
      <c r="A21" s="814" t="s">
        <v>89</v>
      </c>
      <c r="B21" s="919" t="s">
        <v>14</v>
      </c>
      <c r="C21" s="1116">
        <v>0</v>
      </c>
      <c r="D21" s="676"/>
      <c r="E21" s="1116">
        <v>0</v>
      </c>
      <c r="F21" s="676"/>
      <c r="G21" s="680">
        <f>+'Exhibit I State'!AD27</f>
        <v>41.3</v>
      </c>
      <c r="H21" s="676"/>
      <c r="I21" s="639">
        <v>0</v>
      </c>
      <c r="J21" s="937"/>
      <c r="K21" s="1523">
        <v>0</v>
      </c>
      <c r="L21" s="948"/>
      <c r="M21" s="1116">
        <v>0</v>
      </c>
      <c r="N21" s="1116"/>
      <c r="O21" s="1116">
        <v>0</v>
      </c>
      <c r="P21" s="655"/>
      <c r="Q21" s="680">
        <v>0</v>
      </c>
      <c r="R21" s="655"/>
      <c r="S21" s="639">
        <f t="shared" si="0"/>
        <v>0</v>
      </c>
      <c r="T21" s="676"/>
      <c r="U21" s="1523">
        <v>0</v>
      </c>
      <c r="V21" s="940"/>
      <c r="W21" s="968"/>
      <c r="X21" s="940"/>
      <c r="Y21" s="968"/>
      <c r="Z21" s="940"/>
      <c r="AA21" s="937"/>
      <c r="AB21" s="939"/>
      <c r="AC21" s="918"/>
      <c r="AD21" s="918"/>
      <c r="AE21" s="939"/>
      <c r="AF21" s="918"/>
      <c r="AG21" s="939"/>
      <c r="AH21" s="918"/>
      <c r="AI21" s="918"/>
      <c r="AJ21" s="939"/>
      <c r="AK21" s="918"/>
      <c r="AL21" s="918"/>
      <c r="AM21" s="939"/>
      <c r="AN21" s="203"/>
      <c r="AO21" s="939"/>
      <c r="AP21" s="918"/>
      <c r="AQ21" s="618"/>
      <c r="AR21" s="618"/>
      <c r="AS21" s="618"/>
      <c r="AT21" s="618"/>
      <c r="AU21" s="618"/>
      <c r="AV21" s="929"/>
    </row>
    <row r="22" spans="1:48">
      <c r="A22" s="814" t="s">
        <v>90</v>
      </c>
      <c r="B22" s="918" t="s">
        <v>14</v>
      </c>
      <c r="C22" s="1116">
        <v>0</v>
      </c>
      <c r="D22" s="1523"/>
      <c r="E22" s="1116">
        <v>0</v>
      </c>
      <c r="F22" s="639"/>
      <c r="G22" s="680">
        <f>+'Exhibit I State'!AD30</f>
        <v>0</v>
      </c>
      <c r="H22" s="639"/>
      <c r="I22" s="639">
        <f t="shared" ref="I22:I25" si="1">ROUND(SUM(G22)-SUM(C22),1)</f>
        <v>0</v>
      </c>
      <c r="J22" s="937"/>
      <c r="K22" s="1523">
        <v>0</v>
      </c>
      <c r="L22" s="948"/>
      <c r="M22" s="1116">
        <v>0</v>
      </c>
      <c r="N22" s="1116"/>
      <c r="O22" s="1116">
        <v>0</v>
      </c>
      <c r="P22" s="655"/>
      <c r="Q22" s="680">
        <v>0</v>
      </c>
      <c r="R22" s="655"/>
      <c r="S22" s="639">
        <f t="shared" si="0"/>
        <v>0</v>
      </c>
      <c r="T22" s="937"/>
      <c r="U22" s="1523">
        <v>0</v>
      </c>
      <c r="V22" s="940"/>
      <c r="W22" s="968"/>
      <c r="X22" s="940"/>
      <c r="Y22" s="968"/>
      <c r="Z22" s="940"/>
      <c r="AA22" s="937"/>
      <c r="AB22" s="918"/>
      <c r="AC22" s="918"/>
      <c r="AD22" s="918"/>
      <c r="AE22" s="918"/>
      <c r="AF22" s="918"/>
      <c r="AG22" s="918"/>
      <c r="AH22" s="918"/>
      <c r="AI22" s="918"/>
      <c r="AJ22" s="918"/>
      <c r="AK22" s="918"/>
      <c r="AL22" s="918"/>
      <c r="AM22" s="918"/>
      <c r="AN22" s="918"/>
      <c r="AO22" s="918"/>
      <c r="AP22" s="918"/>
      <c r="AQ22" s="618"/>
      <c r="AR22" s="618"/>
      <c r="AS22" s="618"/>
      <c r="AT22" s="618"/>
      <c r="AU22" s="618"/>
      <c r="AV22" s="929"/>
    </row>
    <row r="23" spans="1:48">
      <c r="A23" s="814" t="s">
        <v>19</v>
      </c>
      <c r="B23" s="918" t="s">
        <v>14</v>
      </c>
      <c r="C23" s="1116">
        <v>0</v>
      </c>
      <c r="D23" s="1523"/>
      <c r="E23" s="1116">
        <v>0</v>
      </c>
      <c r="F23" s="639"/>
      <c r="G23" s="680">
        <f>+'Exhibit I State'!AD60</f>
        <v>181.3</v>
      </c>
      <c r="H23" s="639"/>
      <c r="I23" s="639">
        <v>0</v>
      </c>
      <c r="J23" s="937"/>
      <c r="K23" s="1523">
        <v>0</v>
      </c>
      <c r="L23" s="948"/>
      <c r="M23" s="1116">
        <v>0</v>
      </c>
      <c r="N23" s="1523"/>
      <c r="O23" s="1116">
        <v>0</v>
      </c>
      <c r="P23" s="639"/>
      <c r="Q23" s="639">
        <f>+'Exhibit I Federal'!AD42</f>
        <v>0</v>
      </c>
      <c r="R23" s="639"/>
      <c r="S23" s="639">
        <f t="shared" si="0"/>
        <v>0</v>
      </c>
      <c r="T23" s="937"/>
      <c r="U23" s="1523">
        <v>0</v>
      </c>
      <c r="V23" s="937"/>
      <c r="W23" s="968"/>
      <c r="X23" s="937"/>
      <c r="Y23" s="968"/>
      <c r="Z23" s="937"/>
      <c r="AA23" s="937"/>
    </row>
    <row r="24" spans="1:48">
      <c r="A24" s="814" t="s">
        <v>20</v>
      </c>
      <c r="B24" s="918" t="s">
        <v>14</v>
      </c>
      <c r="C24" s="1116">
        <v>0</v>
      </c>
      <c r="D24" s="1523"/>
      <c r="E24" s="1116">
        <v>0</v>
      </c>
      <c r="F24" s="639"/>
      <c r="G24" s="680">
        <f>+'Exhibit I State'!AD62</f>
        <v>0</v>
      </c>
      <c r="H24" s="639"/>
      <c r="I24" s="639">
        <f t="shared" si="1"/>
        <v>0</v>
      </c>
      <c r="J24" s="937"/>
      <c r="K24" s="1523">
        <v>0</v>
      </c>
      <c r="L24" s="948"/>
      <c r="M24" s="1116">
        <v>0</v>
      </c>
      <c r="N24" s="1523"/>
      <c r="O24" s="1116">
        <v>0</v>
      </c>
      <c r="P24" s="639"/>
      <c r="Q24" s="639">
        <f>+'Exhibit I Federal'!AD44</f>
        <v>5.6</v>
      </c>
      <c r="R24" s="639"/>
      <c r="S24" s="639">
        <v>0</v>
      </c>
      <c r="T24" s="937"/>
      <c r="U24" s="1523">
        <v>0</v>
      </c>
      <c r="V24" s="937"/>
      <c r="W24" s="968"/>
      <c r="X24" s="937"/>
      <c r="Y24" s="968"/>
      <c r="Z24" s="937"/>
      <c r="AA24" s="937"/>
    </row>
    <row r="25" spans="1:48">
      <c r="A25" s="814" t="s">
        <v>96</v>
      </c>
      <c r="B25" s="918" t="s">
        <v>14</v>
      </c>
      <c r="C25" s="1116">
        <v>0</v>
      </c>
      <c r="D25" s="1523"/>
      <c r="E25" s="1116">
        <v>0</v>
      </c>
      <c r="F25" s="639"/>
      <c r="G25" s="680">
        <f>+'Exhibit I State'!AA91</f>
        <v>0</v>
      </c>
      <c r="H25" s="639"/>
      <c r="I25" s="639">
        <f t="shared" si="1"/>
        <v>0</v>
      </c>
      <c r="J25" s="937"/>
      <c r="K25" s="1523">
        <v>0</v>
      </c>
      <c r="L25" s="949"/>
      <c r="M25" s="1116">
        <v>0</v>
      </c>
      <c r="N25" s="889"/>
      <c r="O25" s="1116">
        <v>0</v>
      </c>
      <c r="P25" s="639"/>
      <c r="Q25" s="655">
        <v>0</v>
      </c>
      <c r="R25" s="639"/>
      <c r="S25" s="639">
        <f t="shared" si="0"/>
        <v>0</v>
      </c>
      <c r="T25" s="938"/>
      <c r="U25" s="1523">
        <v>0</v>
      </c>
      <c r="V25" s="937"/>
      <c r="W25" s="968"/>
      <c r="X25" s="937"/>
      <c r="Y25" s="968"/>
      <c r="Z25" s="937"/>
      <c r="AA25" s="937"/>
    </row>
    <row r="26" spans="1:48">
      <c r="A26" s="814" t="s">
        <v>46</v>
      </c>
      <c r="B26" s="918" t="s">
        <v>14</v>
      </c>
      <c r="C26" s="1116">
        <v>0</v>
      </c>
      <c r="D26" s="1523"/>
      <c r="E26" s="1116">
        <v>0</v>
      </c>
      <c r="F26" s="639"/>
      <c r="G26" s="678">
        <f>+'Exhibit I State'!AD92</f>
        <v>488.9</v>
      </c>
      <c r="H26" s="639"/>
      <c r="I26" s="639">
        <v>0</v>
      </c>
      <c r="J26" s="937"/>
      <c r="K26" s="1523">
        <v>0</v>
      </c>
      <c r="L26" s="948"/>
      <c r="M26" s="1116">
        <v>0</v>
      </c>
      <c r="N26" s="889"/>
      <c r="O26" s="1116">
        <v>0</v>
      </c>
      <c r="P26" s="639"/>
      <c r="Q26" s="676">
        <f>+'Exhibit I Federal'!I73</f>
        <v>0</v>
      </c>
      <c r="R26" s="639"/>
      <c r="S26" s="639">
        <f t="shared" si="0"/>
        <v>0</v>
      </c>
      <c r="T26" s="938"/>
      <c r="U26" s="1523">
        <v>0</v>
      </c>
      <c r="V26" s="937"/>
      <c r="W26" s="968"/>
      <c r="X26" s="937"/>
      <c r="Y26" s="968"/>
      <c r="Z26" s="937"/>
      <c r="AA26" s="937"/>
    </row>
    <row r="27" spans="1:48" ht="18" customHeight="1">
      <c r="A27" s="173" t="s">
        <v>107</v>
      </c>
      <c r="B27" s="151" t="s">
        <v>14</v>
      </c>
      <c r="C27" s="1867">
        <f>ROUND(SUM(C20:C26),1)</f>
        <v>0</v>
      </c>
      <c r="D27" s="916"/>
      <c r="E27" s="1867">
        <f>ROUND(SUM(E20:E26),1)</f>
        <v>0</v>
      </c>
      <c r="F27" s="916"/>
      <c r="G27" s="215">
        <f>ROUND(SUM(G20:G26),1)</f>
        <v>755</v>
      </c>
      <c r="H27" s="916"/>
      <c r="I27" s="215">
        <f>ROUND(SUM(I20:I26),1)</f>
        <v>0</v>
      </c>
      <c r="J27" s="76"/>
      <c r="K27" s="215">
        <f>ROUND(SUM(K20:K26),1)</f>
        <v>0</v>
      </c>
      <c r="L27" s="950"/>
      <c r="M27" s="1867">
        <f>ROUND(SUM(M20:M26),1)</f>
        <v>0</v>
      </c>
      <c r="N27" s="916"/>
      <c r="O27" s="1867">
        <f>ROUND(SUM(O20:O26),1)</f>
        <v>0</v>
      </c>
      <c r="P27" s="916"/>
      <c r="Q27" s="215">
        <f>ROUND(SUM(Q20:Q26),1)</f>
        <v>5.6</v>
      </c>
      <c r="R27" s="916"/>
      <c r="S27" s="215">
        <f>ROUND(SUM(S20:S26),1)</f>
        <v>0</v>
      </c>
      <c r="T27" s="76"/>
      <c r="U27" s="215">
        <f>ROUND(SUM(U20:U26),1)</f>
        <v>0</v>
      </c>
      <c r="V27" s="76"/>
      <c r="W27" s="76"/>
      <c r="X27" s="76"/>
      <c r="Y27" s="76"/>
      <c r="Z27" s="76"/>
      <c r="AA27" s="76"/>
    </row>
    <row r="28" spans="1:48">
      <c r="A28" s="684"/>
      <c r="B28" s="918" t="s">
        <v>14</v>
      </c>
      <c r="C28" s="1868"/>
      <c r="D28" s="1523"/>
      <c r="E28" s="1868"/>
      <c r="F28" s="639"/>
      <c r="G28" s="682"/>
      <c r="H28" s="639"/>
      <c r="I28" s="682"/>
      <c r="J28" s="937"/>
      <c r="K28" s="682"/>
      <c r="L28" s="948"/>
      <c r="M28" s="1868"/>
      <c r="N28" s="1523"/>
      <c r="O28" s="1868"/>
      <c r="P28" s="639"/>
      <c r="Q28" s="682"/>
      <c r="R28" s="639"/>
      <c r="S28" s="682" t="s">
        <v>14</v>
      </c>
      <c r="T28" s="937"/>
      <c r="U28" s="682"/>
      <c r="V28" s="937"/>
      <c r="W28" s="937"/>
      <c r="X28" s="937"/>
      <c r="Y28" s="937"/>
      <c r="Z28" s="937"/>
      <c r="AA28" s="937"/>
    </row>
    <row r="29" spans="1:48">
      <c r="A29" s="29" t="s">
        <v>22</v>
      </c>
      <c r="B29" s="918" t="s">
        <v>14</v>
      </c>
      <c r="C29" s="889"/>
      <c r="D29" s="1523"/>
      <c r="E29" s="889"/>
      <c r="F29" s="639"/>
      <c r="G29" s="639" t="s">
        <v>14</v>
      </c>
      <c r="H29" s="639"/>
      <c r="I29" s="639"/>
      <c r="J29" s="937"/>
      <c r="K29" s="1523"/>
      <c r="L29" s="948"/>
      <c r="M29" s="889"/>
      <c r="N29" s="1523"/>
      <c r="O29" s="889"/>
      <c r="P29" s="639"/>
      <c r="Q29" s="639"/>
      <c r="R29" s="639"/>
      <c r="S29" s="639"/>
      <c r="T29" s="937"/>
      <c r="U29" s="1523"/>
      <c r="V29" s="937"/>
      <c r="W29" s="937"/>
      <c r="X29" s="937"/>
      <c r="Y29" s="937"/>
      <c r="Z29" s="937"/>
      <c r="AA29" s="937"/>
    </row>
    <row r="30" spans="1:48">
      <c r="A30" s="814" t="s">
        <v>92</v>
      </c>
      <c r="B30" s="918" t="s">
        <v>14</v>
      </c>
      <c r="C30" s="1116">
        <v>0</v>
      </c>
      <c r="D30" s="1523"/>
      <c r="E30" s="1116">
        <v>0</v>
      </c>
      <c r="F30" s="639"/>
      <c r="G30" s="655">
        <f>+'Exhibit I State'!AD78</f>
        <v>325.89999999999998</v>
      </c>
      <c r="H30" s="639"/>
      <c r="I30" s="639">
        <v>0</v>
      </c>
      <c r="J30" s="937"/>
      <c r="K30" s="1523">
        <v>0</v>
      </c>
      <c r="L30" s="948"/>
      <c r="M30" s="1116">
        <v>0</v>
      </c>
      <c r="N30" s="1523"/>
      <c r="O30" s="1116">
        <v>0</v>
      </c>
      <c r="P30" s="639"/>
      <c r="Q30" s="639">
        <f>+'Exhibit I Federal'!AD60</f>
        <v>5.9</v>
      </c>
      <c r="R30" s="639"/>
      <c r="S30" s="639">
        <v>0</v>
      </c>
      <c r="T30" s="937"/>
      <c r="U30" s="1523">
        <v>0</v>
      </c>
      <c r="V30" s="937"/>
      <c r="W30" s="968"/>
      <c r="X30" s="937"/>
      <c r="Y30" s="968"/>
      <c r="Z30" s="937"/>
      <c r="AA30" s="937"/>
    </row>
    <row r="31" spans="1:48">
      <c r="A31" s="814" t="s">
        <v>41</v>
      </c>
      <c r="B31" s="918" t="s">
        <v>14</v>
      </c>
      <c r="C31" s="1116">
        <v>0</v>
      </c>
      <c r="D31" s="1523"/>
      <c r="E31" s="1116">
        <v>0</v>
      </c>
      <c r="F31" s="639"/>
      <c r="G31" s="655">
        <f>+'Exhibit I State'!AD83</f>
        <v>351.1</v>
      </c>
      <c r="H31" s="639"/>
      <c r="I31" s="639">
        <v>0</v>
      </c>
      <c r="J31" s="937"/>
      <c r="K31" s="1523">
        <v>0</v>
      </c>
      <c r="L31" s="949"/>
      <c r="M31" s="1116">
        <v>0</v>
      </c>
      <c r="N31" s="1523"/>
      <c r="O31" s="1116">
        <v>0</v>
      </c>
      <c r="P31" s="639"/>
      <c r="Q31" s="639">
        <f>+'Exhibit I Federal'!AD65</f>
        <v>47.1</v>
      </c>
      <c r="R31" s="639"/>
      <c r="S31" s="639">
        <v>0</v>
      </c>
      <c r="T31" s="937"/>
      <c r="U31" s="1523">
        <v>0</v>
      </c>
      <c r="V31" s="937"/>
      <c r="W31" s="968"/>
      <c r="X31" s="937"/>
      <c r="Y31" s="968"/>
      <c r="Z31" s="937"/>
      <c r="AA31" s="937"/>
    </row>
    <row r="32" spans="1:48">
      <c r="A32" s="814" t="s">
        <v>97</v>
      </c>
      <c r="B32" s="918" t="s">
        <v>14</v>
      </c>
      <c r="C32" s="1116">
        <v>0</v>
      </c>
      <c r="D32" s="1523"/>
      <c r="E32" s="1116">
        <v>0</v>
      </c>
      <c r="F32" s="639"/>
      <c r="G32" s="676">
        <f>-'Exhibit I State'!AD93</f>
        <v>8.4</v>
      </c>
      <c r="H32" s="639"/>
      <c r="I32" s="639">
        <v>0</v>
      </c>
      <c r="J32" s="937"/>
      <c r="K32" s="1523">
        <v>0</v>
      </c>
      <c r="L32" s="948"/>
      <c r="M32" s="1116">
        <v>0</v>
      </c>
      <c r="N32" s="1523"/>
      <c r="O32" s="1116">
        <v>0</v>
      </c>
      <c r="P32" s="639"/>
      <c r="Q32" s="676">
        <f>-'Exhibit I Federal'!AD74</f>
        <v>0</v>
      </c>
      <c r="R32" s="639"/>
      <c r="S32" s="639">
        <f>ROUND(SUM(Q32)-SUM(M32),1)</f>
        <v>0</v>
      </c>
      <c r="T32" s="938"/>
      <c r="U32" s="1523">
        <v>0</v>
      </c>
      <c r="V32" s="937"/>
      <c r="W32" s="968"/>
      <c r="X32" s="937"/>
      <c r="Y32" s="968"/>
      <c r="Z32" s="937"/>
      <c r="AA32" s="937"/>
    </row>
    <row r="33" spans="1:48" ht="18" customHeight="1">
      <c r="A33" s="173" t="s">
        <v>116</v>
      </c>
      <c r="B33" s="151" t="s">
        <v>14</v>
      </c>
      <c r="C33" s="1867">
        <f>ROUND(SUM(C30:C32),1)</f>
        <v>0</v>
      </c>
      <c r="D33" s="916"/>
      <c r="E33" s="1867">
        <f>ROUND(SUM(E30:E32),1)</f>
        <v>0</v>
      </c>
      <c r="F33" s="916"/>
      <c r="G33" s="215">
        <f>ROUND(SUM(G30:G32),1)</f>
        <v>685.4</v>
      </c>
      <c r="H33" s="916"/>
      <c r="I33" s="215">
        <f>ROUND(SUM(I30:I32),1)</f>
        <v>0</v>
      </c>
      <c r="J33" s="76"/>
      <c r="K33" s="215">
        <f>ROUND(SUM(K30:K32),1)</f>
        <v>0</v>
      </c>
      <c r="L33" s="950"/>
      <c r="M33" s="1866">
        <f>ROUND(SUM(M30:M32),1)</f>
        <v>0</v>
      </c>
      <c r="N33" s="916"/>
      <c r="O33" s="1866">
        <f>ROUND(SUM(O30:O32),1)</f>
        <v>0</v>
      </c>
      <c r="P33" s="916"/>
      <c r="Q33" s="215">
        <f>ROUND(SUM(Q30:Q32),1)</f>
        <v>53</v>
      </c>
      <c r="R33" s="916"/>
      <c r="S33" s="215">
        <f>ROUND(SUM(S30:S32),1)</f>
        <v>0</v>
      </c>
      <c r="T33" s="76"/>
      <c r="U33" s="215">
        <f>ROUND(SUM(U30:U32),1)</f>
        <v>0</v>
      </c>
      <c r="V33" s="76"/>
      <c r="W33" s="76"/>
      <c r="X33" s="76"/>
      <c r="Y33" s="76"/>
      <c r="Z33" s="76"/>
      <c r="AA33" s="76"/>
    </row>
    <row r="34" spans="1:48">
      <c r="A34" s="684"/>
      <c r="B34" s="918" t="s">
        <v>14</v>
      </c>
      <c r="C34" s="1868"/>
      <c r="D34" s="1523"/>
      <c r="E34" s="1868"/>
      <c r="F34" s="639"/>
      <c r="G34" s="682"/>
      <c r="H34" s="639"/>
      <c r="I34" s="682"/>
      <c r="J34" s="937"/>
      <c r="K34" s="682"/>
      <c r="L34" s="948"/>
      <c r="M34" s="1864"/>
      <c r="N34" s="1523"/>
      <c r="O34" s="1864"/>
      <c r="P34" s="639"/>
      <c r="Q34" s="682"/>
      <c r="R34" s="639"/>
      <c r="S34" s="682"/>
      <c r="T34" s="937"/>
      <c r="U34" s="682"/>
      <c r="V34" s="937"/>
      <c r="W34" s="937"/>
      <c r="X34" s="937"/>
      <c r="Y34" s="937"/>
      <c r="Z34" s="937"/>
      <c r="AA34" s="937"/>
    </row>
    <row r="35" spans="1:48">
      <c r="A35" s="29" t="s">
        <v>99</v>
      </c>
      <c r="B35" s="918"/>
      <c r="C35" s="889"/>
      <c r="D35" s="1523"/>
      <c r="E35" s="889"/>
      <c r="F35" s="639"/>
      <c r="G35" s="639"/>
      <c r="H35" s="639"/>
      <c r="I35" s="639"/>
      <c r="J35" s="937"/>
      <c r="K35" s="1523"/>
      <c r="L35" s="948"/>
      <c r="M35" s="1523"/>
      <c r="N35" s="1523"/>
      <c r="O35" s="1523"/>
      <c r="P35" s="639"/>
      <c r="Q35" s="639"/>
      <c r="R35" s="639"/>
      <c r="S35" s="639"/>
      <c r="T35" s="937"/>
      <c r="U35" s="1523"/>
      <c r="V35" s="937"/>
      <c r="W35" s="937"/>
      <c r="X35" s="937"/>
      <c r="Y35" s="937"/>
      <c r="Z35" s="937"/>
      <c r="AA35" s="937"/>
    </row>
    <row r="36" spans="1:48">
      <c r="A36" s="29" t="s">
        <v>100</v>
      </c>
      <c r="B36" s="918"/>
      <c r="C36" s="889"/>
      <c r="D36" s="1523"/>
      <c r="E36" s="889"/>
      <c r="F36" s="639"/>
      <c r="G36" s="639"/>
      <c r="H36" s="639"/>
      <c r="I36" s="639"/>
      <c r="J36" s="937"/>
      <c r="K36" s="1523"/>
      <c r="L36" s="948"/>
      <c r="M36" s="1523"/>
      <c r="N36" s="1523"/>
      <c r="O36" s="1523"/>
      <c r="P36" s="639"/>
      <c r="Q36" s="639"/>
      <c r="R36" s="639"/>
      <c r="S36" s="639"/>
      <c r="T36" s="937"/>
      <c r="U36" s="1523"/>
      <c r="V36" s="937"/>
      <c r="W36" s="937"/>
      <c r="X36" s="937"/>
      <c r="Y36" s="937"/>
      <c r="Z36" s="937"/>
      <c r="AA36" s="937"/>
    </row>
    <row r="37" spans="1:48">
      <c r="A37" s="173" t="s">
        <v>101</v>
      </c>
      <c r="B37" s="174" t="s">
        <v>14</v>
      </c>
      <c r="C37" s="115">
        <f>ROUND(SUM(C27)-SUM(C33),1)</f>
        <v>0</v>
      </c>
      <c r="D37" s="84"/>
      <c r="E37" s="115">
        <f>ROUND(SUM(E27)-SUM(E33),1)</f>
        <v>0</v>
      </c>
      <c r="F37" s="84"/>
      <c r="G37" s="76">
        <f>ROUND(SUM(G27)-SUM(G33),1)</f>
        <v>69.599999999999994</v>
      </c>
      <c r="H37" s="84"/>
      <c r="I37" s="76">
        <f>ROUND(SUM(I27)-SUM(I33),1)</f>
        <v>0</v>
      </c>
      <c r="J37" s="76"/>
      <c r="K37" s="1524">
        <v>0</v>
      </c>
      <c r="L37" s="950"/>
      <c r="M37" s="1524">
        <f>ROUND(SUM(M27)-SUM(M33),1)</f>
        <v>0</v>
      </c>
      <c r="N37" s="84"/>
      <c r="O37" s="1524">
        <f>ROUND(SUM(O27)-SUM(O33),1)</f>
        <v>0</v>
      </c>
      <c r="P37" s="84"/>
      <c r="Q37" s="76">
        <f>ROUND(SUM(Q27)-SUM(Q33),1)</f>
        <v>-47.4</v>
      </c>
      <c r="R37" s="84"/>
      <c r="S37" s="76">
        <f>ROUND(SUM(S27)-SUM(S33),1)</f>
        <v>0</v>
      </c>
      <c r="T37" s="1524"/>
      <c r="U37" s="1524">
        <f>ROUND(SUM(U27)-SUM(U33),1)</f>
        <v>0</v>
      </c>
      <c r="V37" s="392"/>
      <c r="W37" s="76"/>
      <c r="X37" s="392"/>
      <c r="Y37" s="76"/>
      <c r="Z37" s="392"/>
      <c r="AA37" s="76"/>
      <c r="AB37" s="618"/>
    </row>
    <row r="38" spans="1:48">
      <c r="B38" s="618"/>
      <c r="C38" s="1478"/>
      <c r="D38" s="926"/>
      <c r="E38" s="1478"/>
      <c r="F38" s="926"/>
      <c r="G38" s="665"/>
      <c r="H38" s="926"/>
      <c r="I38" s="665"/>
      <c r="J38" s="665"/>
      <c r="K38" s="665"/>
      <c r="L38" s="950"/>
      <c r="M38" s="665"/>
      <c r="N38" s="926"/>
      <c r="O38" s="665"/>
      <c r="P38" s="926"/>
      <c r="Q38" s="665"/>
      <c r="R38" s="926"/>
      <c r="S38" s="665"/>
      <c r="T38" s="665"/>
      <c r="U38" s="665"/>
      <c r="V38" s="665"/>
      <c r="W38" s="665"/>
      <c r="X38" s="665"/>
      <c r="Y38" s="665"/>
      <c r="Z38" s="665"/>
      <c r="AA38" s="665"/>
    </row>
    <row r="39" spans="1:48">
      <c r="A39" s="173" t="s">
        <v>102</v>
      </c>
      <c r="B39" s="928" t="s">
        <v>14</v>
      </c>
      <c r="C39" s="115">
        <v>0</v>
      </c>
      <c r="D39" s="1643"/>
      <c r="E39" s="115">
        <v>0</v>
      </c>
      <c r="F39" s="926"/>
      <c r="G39" s="115">
        <f>'Exhibit I State'!E14</f>
        <v>-563.70000000000005</v>
      </c>
      <c r="H39" s="926"/>
      <c r="I39" s="81">
        <v>0</v>
      </c>
      <c r="J39" s="81"/>
      <c r="K39" s="81">
        <v>0</v>
      </c>
      <c r="L39" s="950"/>
      <c r="M39" s="115">
        <v>0</v>
      </c>
      <c r="N39" s="1643"/>
      <c r="O39" s="115">
        <v>0</v>
      </c>
      <c r="P39" s="926"/>
      <c r="Q39" s="115">
        <f>'Exhibit I Federal'!E14</f>
        <v>-580.29999999999995</v>
      </c>
      <c r="R39" s="926"/>
      <c r="S39" s="81">
        <v>0</v>
      </c>
      <c r="T39" s="665"/>
      <c r="U39" s="81">
        <v>0</v>
      </c>
      <c r="V39" s="665"/>
      <c r="W39" s="76"/>
      <c r="X39" s="665"/>
      <c r="Y39" s="76"/>
      <c r="Z39" s="665"/>
      <c r="AA39" s="81"/>
      <c r="AB39" s="618"/>
      <c r="AC39" s="618"/>
      <c r="AD39" s="618"/>
      <c r="AE39" s="618"/>
      <c r="AF39" s="618"/>
      <c r="AG39" s="618"/>
      <c r="AH39" s="618"/>
      <c r="AI39" s="618"/>
      <c r="AJ39" s="618"/>
      <c r="AK39" s="618"/>
      <c r="AL39" s="618"/>
      <c r="AM39" s="618"/>
      <c r="AN39" s="618"/>
      <c r="AO39" s="618"/>
      <c r="AP39" s="618"/>
      <c r="AQ39" s="618"/>
      <c r="AR39" s="618"/>
      <c r="AS39" s="618"/>
      <c r="AT39" s="618"/>
      <c r="AU39" s="618"/>
      <c r="AV39" s="929"/>
    </row>
    <row r="40" spans="1:48" ht="16" thickBot="1">
      <c r="A40" s="1374" t="str">
        <f>+'Exh D-Governmental  '!A50</f>
        <v>Fund Balances (Deficits) at April 30, 2021</v>
      </c>
      <c r="B40" s="180" t="s">
        <v>14</v>
      </c>
      <c r="C40" s="98">
        <f>ROUND(SUM(C37:C39),1)</f>
        <v>0</v>
      </c>
      <c r="D40" s="181"/>
      <c r="E40" s="98">
        <f>ROUND(SUM(E37:E39),1)</f>
        <v>0</v>
      </c>
      <c r="F40" s="181"/>
      <c r="G40" s="98">
        <f>ROUND(SUM(G37:G39),1)</f>
        <v>-494.1</v>
      </c>
      <c r="H40" s="181"/>
      <c r="I40" s="98">
        <f>ROUND(SUM(I37:I39),1)</f>
        <v>0</v>
      </c>
      <c r="J40" s="219"/>
      <c r="K40" s="98">
        <f>ROUND(SUM(K37:K39),1)</f>
        <v>0</v>
      </c>
      <c r="L40" s="951"/>
      <c r="M40" s="98">
        <f>ROUND(SUM(M37:M39),1)</f>
        <v>0</v>
      </c>
      <c r="N40" s="181"/>
      <c r="O40" s="98">
        <f>ROUND(SUM(O37:O39),1)</f>
        <v>0</v>
      </c>
      <c r="P40" s="181"/>
      <c r="Q40" s="98">
        <f>ROUND(SUM(Q37:Q39),1)</f>
        <v>-627.70000000000005</v>
      </c>
      <c r="R40" s="181"/>
      <c r="S40" s="98">
        <f>ROUND(SUM(S37:S39),1)</f>
        <v>0</v>
      </c>
      <c r="T40" s="181"/>
      <c r="U40" s="98">
        <f>ROUND(SUM(U37:U39),1)</f>
        <v>0</v>
      </c>
      <c r="V40" s="969"/>
      <c r="W40" s="219"/>
      <c r="X40" s="969"/>
      <c r="Y40" s="219"/>
      <c r="Z40" s="969"/>
      <c r="AA40" s="219"/>
      <c r="AB40" s="618"/>
      <c r="AC40" s="618"/>
      <c r="AD40" s="618"/>
      <c r="AE40" s="618"/>
      <c r="AF40" s="618"/>
      <c r="AG40" s="618"/>
      <c r="AH40" s="618"/>
      <c r="AI40" s="618"/>
      <c r="AJ40" s="618"/>
      <c r="AK40" s="618"/>
      <c r="AL40" s="618"/>
      <c r="AM40" s="618"/>
      <c r="AN40" s="618"/>
      <c r="AO40" s="618"/>
      <c r="AP40" s="618"/>
      <c r="AQ40" s="618"/>
      <c r="AR40" s="618"/>
      <c r="AS40" s="618"/>
      <c r="AT40" s="618"/>
      <c r="AU40" s="618"/>
      <c r="AV40" s="929"/>
    </row>
    <row r="41" spans="1:48" ht="16" thickTop="1">
      <c r="B41" s="618"/>
      <c r="L41" s="618"/>
      <c r="N41" s="929"/>
      <c r="P41" s="929"/>
      <c r="Q41" s="952"/>
      <c r="R41" s="929"/>
      <c r="S41" s="929"/>
      <c r="U41" s="929"/>
      <c r="W41" s="618"/>
      <c r="Y41" s="927"/>
    </row>
    <row r="42" spans="1:48">
      <c r="A42" s="930" t="str">
        <f>'Exh D-Governmental  '!A52</f>
        <v>(*)    Due to the absence of the 2021-22 Enacted Budget Financial Plan, the "Financial Plan Cashflow" is not available;</v>
      </c>
      <c r="B42" s="618"/>
      <c r="S42" s="1406"/>
    </row>
    <row r="43" spans="1:48" s="987" customFormat="1">
      <c r="A43" s="930" t="str">
        <f>'Exh D-Governmental  '!A53</f>
        <v xml:space="preserve">        therefore no Plan-to-Actual comparison can be made for the period ending April 30, 2021.</v>
      </c>
      <c r="B43" s="1933"/>
      <c r="C43" s="426"/>
      <c r="D43" s="945"/>
      <c r="E43" s="426"/>
      <c r="F43" s="945"/>
      <c r="G43" s="945"/>
      <c r="H43" s="945"/>
      <c r="I43" s="945"/>
      <c r="J43" s="945"/>
      <c r="K43" s="1933"/>
      <c r="L43" s="426"/>
      <c r="M43" s="1933"/>
      <c r="N43" s="1933"/>
      <c r="O43" s="1933"/>
      <c r="P43" s="1933"/>
      <c r="Q43" s="1933"/>
      <c r="R43" s="1933"/>
      <c r="S43" s="1933"/>
      <c r="T43" s="1933"/>
      <c r="U43" s="1933"/>
      <c r="V43" s="1933"/>
      <c r="W43" s="1933"/>
      <c r="X43" s="1933"/>
      <c r="Y43" s="1933"/>
      <c r="Z43" s="1933"/>
      <c r="AA43" s="1933"/>
      <c r="AB43" s="1933"/>
      <c r="AC43" s="1933"/>
      <c r="AD43" s="1933"/>
      <c r="AE43" s="1933"/>
      <c r="AF43" s="1933"/>
      <c r="AG43" s="1933"/>
      <c r="AH43" s="1933"/>
      <c r="AI43" s="1933"/>
      <c r="AJ43" s="1933"/>
      <c r="AK43" s="945"/>
    </row>
    <row r="44" spans="1:48">
      <c r="A44" s="1491"/>
      <c r="B44" s="618"/>
      <c r="Y44" s="941"/>
      <c r="Z44" s="918"/>
      <c r="AA44" s="941"/>
      <c r="AB44" s="653"/>
      <c r="AC44" s="953"/>
    </row>
    <row r="45" spans="1:48">
      <c r="A45" s="1491"/>
      <c r="B45" s="618"/>
    </row>
    <row r="46" spans="1:48">
      <c r="A46" s="1045"/>
      <c r="B46" s="618"/>
    </row>
    <row r="47" spans="1:48">
      <c r="A47" s="183"/>
      <c r="B47" s="618"/>
    </row>
    <row r="48" spans="1:48">
      <c r="B48" s="618"/>
    </row>
    <row r="49" spans="2:7">
      <c r="B49" s="618"/>
    </row>
    <row r="52" spans="2:7">
      <c r="G52" s="952"/>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50" workbookViewId="0"/>
  </sheetViews>
  <sheetFormatPr defaultColWidth="9.765625" defaultRowHeight="12.5"/>
  <cols>
    <col min="1" max="1" width="32.07421875" style="2798" customWidth="1"/>
    <col min="2" max="2" width="10.765625" style="2798" customWidth="1"/>
    <col min="3" max="3" width="3.4609375" style="2798" customWidth="1"/>
    <col min="4" max="4" width="12.07421875" style="2798" customWidth="1"/>
    <col min="5" max="5" width="1.765625" style="2798" customWidth="1"/>
    <col min="6" max="6" width="17" style="2798" bestFit="1" customWidth="1"/>
    <col min="7" max="7" width="1.765625" style="2798" customWidth="1"/>
    <col min="8" max="8" width="12.07421875" style="2798" customWidth="1"/>
    <col min="9" max="9" width="1.765625" style="2798" customWidth="1"/>
    <col min="10" max="10" width="12.07421875" style="2798" customWidth="1"/>
    <col min="11" max="11" width="1.765625" style="2798" customWidth="1"/>
    <col min="12" max="12" width="12.07421875" style="2798" customWidth="1"/>
    <col min="13" max="13" width="1.765625" style="2798" customWidth="1"/>
    <col min="14" max="14" width="13" style="2798" customWidth="1"/>
    <col min="15" max="15" width="1.765625" style="2798" customWidth="1"/>
    <col min="16" max="16" width="12.07421875" style="2798" customWidth="1"/>
    <col min="17" max="17" width="1.765625" style="2798" customWidth="1"/>
    <col min="18" max="18" width="12.07421875" style="2798" customWidth="1"/>
    <col min="19" max="19" width="1.765625" style="2798" customWidth="1"/>
    <col min="20" max="20" width="1" style="2798" customWidth="1"/>
    <col min="21" max="21" width="1.765625" style="2798" customWidth="1"/>
    <col min="22" max="22" width="15.53515625" style="2798" customWidth="1"/>
    <col min="23" max="23" width="1.765625" style="2798" customWidth="1"/>
    <col min="24" max="24" width="17" style="2798" bestFit="1" customWidth="1"/>
    <col min="25" max="25" width="1.765625" style="2798" customWidth="1"/>
    <col min="26" max="26" width="1" style="2798" customWidth="1"/>
    <col min="27" max="27" width="1.765625" style="2798" customWidth="1"/>
    <col min="28" max="28" width="17.07421875" style="2824" customWidth="1"/>
    <col min="29" max="29" width="3.765625" style="2824" customWidth="1"/>
    <col min="30" max="30" width="16.07421875" style="2824" customWidth="1"/>
    <col min="31" max="31" width="1.53515625" style="2824" customWidth="1"/>
    <col min="32" max="32" width="0.4609375" style="2824" customWidth="1"/>
    <col min="33" max="33" width="1.53515625" style="2824" customWidth="1"/>
    <col min="34" max="34" width="14.53515625" style="2824" bestFit="1" customWidth="1"/>
    <col min="35" max="35" width="1.765625" style="2798" customWidth="1"/>
    <col min="36" max="36" width="13.07421875" style="2798" customWidth="1"/>
    <col min="37" max="37" width="2.07421875" style="2798" customWidth="1"/>
    <col min="38" max="38" width="1.765625" style="2798" customWidth="1"/>
    <col min="39" max="16384" width="9.765625" style="2798"/>
  </cols>
  <sheetData>
    <row r="1" spans="1:38" s="2790" customFormat="1" ht="15.5">
      <c r="A1" s="2225" t="s">
        <v>885</v>
      </c>
      <c r="AB1" s="3103"/>
      <c r="AC1" s="3103"/>
      <c r="AD1" s="3103"/>
      <c r="AE1" s="3103"/>
      <c r="AF1" s="3103"/>
      <c r="AG1" s="3103"/>
      <c r="AH1" s="3103"/>
    </row>
    <row r="2" spans="1:38" s="2793" customFormat="1">
      <c r="A2" s="2791"/>
      <c r="B2" s="2792"/>
      <c r="C2" s="2792"/>
      <c r="D2" s="2790"/>
      <c r="E2" s="2792"/>
      <c r="F2" s="2792"/>
      <c r="G2" s="2792"/>
      <c r="H2" s="2792"/>
      <c r="I2" s="2792"/>
      <c r="J2" s="2792"/>
      <c r="K2" s="2792"/>
      <c r="L2" s="2792"/>
      <c r="M2" s="2792"/>
      <c r="N2" s="2792"/>
      <c r="O2" s="2792"/>
      <c r="P2" s="2792"/>
      <c r="Q2" s="2792"/>
      <c r="R2" s="2792"/>
      <c r="S2" s="2792"/>
      <c r="T2" s="2792"/>
      <c r="U2" s="2792"/>
      <c r="V2" s="2792"/>
      <c r="W2" s="2792"/>
      <c r="X2" s="2792"/>
      <c r="Y2" s="2792"/>
      <c r="Z2" s="2792"/>
      <c r="AA2" s="2792"/>
      <c r="AB2" s="3104"/>
      <c r="AC2" s="3104"/>
      <c r="AD2" s="3104"/>
      <c r="AE2" s="3104"/>
      <c r="AF2" s="3104"/>
      <c r="AG2" s="3104"/>
      <c r="AH2" s="3104"/>
    </row>
    <row r="3" spans="1:38" ht="18">
      <c r="A3" s="2794" t="s">
        <v>0</v>
      </c>
      <c r="B3" s="2795"/>
      <c r="C3" s="2795"/>
      <c r="D3" s="2790"/>
      <c r="E3" s="2795"/>
      <c r="F3" s="2795"/>
      <c r="G3" s="2795"/>
      <c r="H3" s="2795"/>
      <c r="I3" s="2795"/>
      <c r="J3" s="2795"/>
      <c r="K3" s="2795"/>
      <c r="L3" s="2796"/>
      <c r="M3" s="2796"/>
      <c r="N3" s="2796"/>
      <c r="O3" s="2796"/>
      <c r="P3" s="2795"/>
      <c r="Q3" s="2795"/>
      <c r="R3" s="2795"/>
      <c r="S3" s="2796"/>
      <c r="T3" s="2795"/>
      <c r="U3" s="2796"/>
      <c r="V3" s="2796"/>
      <c r="W3" s="2796"/>
      <c r="X3" s="2796"/>
      <c r="Y3" s="2796"/>
      <c r="Z3" s="2796"/>
      <c r="AA3" s="2796"/>
      <c r="AB3" s="3105"/>
      <c r="AC3" s="3105"/>
      <c r="AD3" s="3105"/>
      <c r="AE3" s="3105"/>
      <c r="AF3" s="3356"/>
      <c r="AG3" s="3356"/>
      <c r="AH3" s="2823"/>
      <c r="AI3" s="2797"/>
    </row>
    <row r="4" spans="1:38" ht="18">
      <c r="A4" s="2799" t="s">
        <v>1</v>
      </c>
      <c r="B4" s="2795"/>
      <c r="C4" s="2795"/>
      <c r="D4" s="2790"/>
      <c r="E4" s="2795"/>
      <c r="F4" s="2795"/>
      <c r="G4" s="2795"/>
      <c r="H4" s="2795"/>
      <c r="I4" s="2795"/>
      <c r="J4" s="2795"/>
      <c r="K4" s="2795"/>
      <c r="L4" s="2796"/>
      <c r="M4" s="2796"/>
      <c r="N4" s="2796"/>
      <c r="O4" s="2796"/>
      <c r="P4" s="2795"/>
      <c r="Q4" s="2795"/>
      <c r="R4" s="2795"/>
      <c r="S4" s="2796"/>
      <c r="T4" s="2795"/>
      <c r="U4" s="2796"/>
      <c r="V4" s="2796"/>
      <c r="W4" s="2796"/>
      <c r="X4" s="2796"/>
      <c r="Y4" s="2796"/>
      <c r="Z4" s="2796"/>
      <c r="AA4" s="2796"/>
      <c r="AB4" s="3105"/>
      <c r="AC4" s="3105"/>
      <c r="AD4" s="3105"/>
      <c r="AE4" s="3105"/>
      <c r="AF4" s="3356"/>
      <c r="AG4" s="3356"/>
      <c r="AH4" s="2823"/>
      <c r="AI4" s="2797"/>
    </row>
    <row r="5" spans="1:38" ht="18">
      <c r="A5" s="2794" t="s">
        <v>1552</v>
      </c>
      <c r="B5" s="2795"/>
      <c r="C5" s="2795"/>
      <c r="D5" s="2790"/>
      <c r="E5" s="2795"/>
      <c r="F5" s="2795"/>
      <c r="G5" s="2795"/>
      <c r="H5" s="2796"/>
      <c r="I5" s="2796"/>
      <c r="J5" s="2796"/>
      <c r="K5" s="2795"/>
      <c r="L5" s="2796"/>
      <c r="M5" s="2796"/>
      <c r="N5" s="2796"/>
      <c r="O5" s="2796"/>
      <c r="P5" s="2795"/>
      <c r="Q5" s="2795"/>
      <c r="R5" s="2795"/>
      <c r="S5" s="2796"/>
      <c r="T5" s="2795"/>
      <c r="U5" s="2796"/>
      <c r="V5" s="2796"/>
      <c r="W5" s="2796"/>
      <c r="X5" s="2796"/>
      <c r="Y5" s="2796"/>
      <c r="Z5" s="2796"/>
      <c r="AA5" s="2796"/>
      <c r="AB5" s="3105"/>
      <c r="AC5" s="3105"/>
      <c r="AD5" s="3105"/>
      <c r="AE5" s="3105"/>
      <c r="AF5" s="3356"/>
      <c r="AG5" s="3356"/>
      <c r="AH5" s="2823"/>
      <c r="AI5" s="2797"/>
    </row>
    <row r="6" spans="1:38" ht="18">
      <c r="A6" s="2794" t="s">
        <v>1280</v>
      </c>
      <c r="B6" s="2795"/>
      <c r="C6" s="2795"/>
      <c r="D6" s="2790"/>
      <c r="E6" s="2795"/>
      <c r="F6" s="2795"/>
      <c r="G6" s="2795"/>
      <c r="H6" s="2795"/>
      <c r="I6" s="2795"/>
      <c r="J6" s="2795"/>
      <c r="K6" s="2795"/>
      <c r="L6" s="2796"/>
      <c r="M6" s="2796"/>
      <c r="N6" s="2796"/>
      <c r="O6" s="2796"/>
      <c r="P6" s="2795"/>
      <c r="Q6" s="2795"/>
      <c r="R6" s="2795"/>
      <c r="S6" s="2796"/>
      <c r="T6" s="2795"/>
      <c r="U6" s="2796"/>
      <c r="V6" s="2796"/>
      <c r="W6" s="2796"/>
      <c r="X6" s="2796"/>
      <c r="Y6" s="2796"/>
      <c r="Z6" s="2796"/>
      <c r="AA6" s="2796"/>
      <c r="AB6" s="3105"/>
      <c r="AC6" s="3105"/>
      <c r="AD6" s="3105"/>
      <c r="AE6" s="3105"/>
      <c r="AF6" s="3356"/>
      <c r="AG6" s="3356"/>
      <c r="AH6" s="2823"/>
      <c r="AI6" s="2797"/>
    </row>
    <row r="7" spans="1:38" ht="18">
      <c r="A7" s="2795"/>
      <c r="B7" s="2795"/>
      <c r="C7" s="2795"/>
      <c r="D7" s="2790"/>
      <c r="E7" s="2795"/>
      <c r="F7" s="2795"/>
      <c r="G7" s="2795"/>
      <c r="H7" s="2795"/>
      <c r="I7" s="2795"/>
      <c r="J7" s="2795"/>
      <c r="K7" s="2795"/>
      <c r="L7" s="2796"/>
      <c r="M7" s="2796"/>
      <c r="N7" s="2796"/>
      <c r="O7" s="2796"/>
      <c r="P7" s="2796"/>
      <c r="Q7" s="2796"/>
      <c r="R7" s="2796"/>
      <c r="S7" s="2796"/>
      <c r="T7" s="2796"/>
      <c r="U7" s="2796"/>
      <c r="V7" s="2796"/>
      <c r="W7" s="2796"/>
      <c r="X7" s="2796"/>
      <c r="Y7" s="2796"/>
      <c r="Z7" s="2796"/>
      <c r="AA7" s="2796"/>
      <c r="AB7" s="3106"/>
      <c r="AC7" s="3106"/>
      <c r="AD7" s="3106"/>
      <c r="AE7" s="3106"/>
      <c r="AF7" s="3356"/>
      <c r="AG7" s="3356"/>
      <c r="AH7" s="2823"/>
      <c r="AI7" s="2797"/>
      <c r="AJ7" s="2800" t="s">
        <v>814</v>
      </c>
    </row>
    <row r="8" spans="1:38" ht="15.5">
      <c r="A8" s="2225"/>
      <c r="B8" s="2225"/>
      <c r="C8" s="2225"/>
      <c r="D8" s="2790"/>
      <c r="E8" s="2225"/>
      <c r="F8" s="2225"/>
      <c r="G8" s="2225"/>
      <c r="H8" s="2225"/>
      <c r="I8" s="2225"/>
      <c r="J8" s="2225"/>
      <c r="K8" s="2225"/>
      <c r="L8" s="2307"/>
      <c r="M8" s="2307"/>
      <c r="N8" s="2307"/>
      <c r="O8" s="2307"/>
      <c r="P8" s="2307"/>
      <c r="Q8" s="2307"/>
      <c r="R8" s="2307"/>
      <c r="S8" s="2307"/>
      <c r="T8" s="2307"/>
      <c r="U8" s="2307"/>
      <c r="V8" s="2307"/>
      <c r="W8" s="2307"/>
      <c r="X8" s="2307"/>
      <c r="Y8" s="2307"/>
      <c r="Z8" s="2307"/>
      <c r="AA8" s="2307"/>
      <c r="AB8" s="3062"/>
      <c r="AC8" s="3062"/>
      <c r="AD8" s="3062"/>
      <c r="AE8" s="3062"/>
      <c r="AF8" s="2326"/>
      <c r="AG8" s="2326"/>
      <c r="AH8" s="2823"/>
      <c r="AI8" s="2797"/>
    </row>
    <row r="9" spans="1:38" ht="15.5">
      <c r="A9" s="2225"/>
      <c r="B9" s="2225"/>
      <c r="C9" s="2225"/>
      <c r="D9" s="2790"/>
      <c r="E9" s="2307"/>
      <c r="F9" s="2307"/>
      <c r="G9" s="2307"/>
      <c r="H9" s="2307"/>
      <c r="I9" s="2307"/>
      <c r="J9" s="2307"/>
      <c r="K9" s="2307"/>
      <c r="L9" s="2307"/>
      <c r="M9" s="2307"/>
      <c r="N9" s="2307"/>
      <c r="O9" s="2307"/>
      <c r="P9" s="2307"/>
      <c r="Q9" s="2307"/>
      <c r="R9" s="2307"/>
      <c r="S9" s="2307"/>
      <c r="T9" s="2307"/>
      <c r="U9" s="2307"/>
      <c r="V9" s="2801"/>
      <c r="W9" s="2801"/>
      <c r="X9" s="2801"/>
      <c r="Y9" s="2801"/>
      <c r="Z9" s="2801"/>
      <c r="AA9" s="2801"/>
      <c r="AB9" s="3107"/>
      <c r="AC9" s="3107"/>
      <c r="AD9" s="3107"/>
      <c r="AE9" s="3107"/>
      <c r="AF9" s="3062"/>
      <c r="AG9" s="3062"/>
      <c r="AH9" s="3357"/>
      <c r="AI9" s="2802"/>
    </row>
    <row r="10" spans="1:38" ht="4.4000000000000004" customHeight="1">
      <c r="A10" s="2225"/>
      <c r="B10" s="2225"/>
      <c r="C10" s="2225"/>
      <c r="D10" s="2225"/>
      <c r="E10" s="2225"/>
      <c r="F10" s="2225"/>
      <c r="G10" s="2225"/>
      <c r="H10" s="2225"/>
      <c r="I10" s="2225"/>
      <c r="J10" s="2225"/>
      <c r="K10" s="2225"/>
      <c r="L10" s="2225"/>
      <c r="M10" s="2225"/>
      <c r="N10" s="2225"/>
      <c r="O10" s="2225"/>
      <c r="P10" s="2225"/>
      <c r="Q10" s="2225"/>
      <c r="R10" s="2225"/>
      <c r="S10" s="2225"/>
      <c r="T10" s="2248"/>
      <c r="U10" s="2248"/>
      <c r="V10" s="2225"/>
      <c r="W10" s="2225"/>
      <c r="X10" s="2225"/>
      <c r="Y10" s="2225"/>
      <c r="Z10" s="2225"/>
      <c r="AA10" s="2225"/>
      <c r="AB10" s="2326"/>
      <c r="AC10" s="2326"/>
      <c r="AD10" s="2326"/>
      <c r="AE10" s="2326"/>
      <c r="AF10" s="2326"/>
      <c r="AG10" s="2326"/>
      <c r="AH10" s="2823"/>
      <c r="AI10" s="2797"/>
    </row>
    <row r="11" spans="1:38" ht="15" customHeight="1">
      <c r="A11" s="2225"/>
      <c r="B11" s="2225"/>
      <c r="C11" s="2225"/>
      <c r="D11" s="2803" t="s">
        <v>2</v>
      </c>
      <c r="E11" s="2803"/>
      <c r="F11" s="2803"/>
      <c r="G11" s="2248"/>
      <c r="H11" s="2803" t="s">
        <v>55</v>
      </c>
      <c r="I11" s="2803"/>
      <c r="J11" s="2803"/>
      <c r="K11" s="2248"/>
      <c r="L11" s="2803" t="s">
        <v>4</v>
      </c>
      <c r="M11" s="2803"/>
      <c r="N11" s="2803"/>
      <c r="O11" s="2248"/>
      <c r="P11" s="2803" t="s">
        <v>119</v>
      </c>
      <c r="Q11" s="2803"/>
      <c r="R11" s="2803"/>
      <c r="S11" s="2225"/>
      <c r="T11" s="2248"/>
      <c r="U11" s="2248"/>
      <c r="V11" s="2804" t="s">
        <v>815</v>
      </c>
      <c r="W11" s="2803"/>
      <c r="X11" s="2803"/>
      <c r="Y11" s="2803"/>
      <c r="Z11" s="2805"/>
      <c r="AA11" s="2805"/>
      <c r="AB11" s="3472"/>
      <c r="AC11" s="3472"/>
      <c r="AD11" s="3472"/>
      <c r="AE11" s="3358"/>
      <c r="AF11" s="3359"/>
      <c r="AG11" s="3360"/>
      <c r="AH11" s="3361" t="s">
        <v>816</v>
      </c>
      <c r="AI11" s="2803"/>
      <c r="AJ11" s="2803"/>
    </row>
    <row r="12" spans="1:38" ht="15.5">
      <c r="A12" s="2225"/>
      <c r="B12" s="2225"/>
      <c r="C12" s="2225"/>
      <c r="D12" s="1496" t="s">
        <v>6</v>
      </c>
      <c r="E12" s="1496"/>
      <c r="F12" s="2806" t="str">
        <f>'Exhibit A'!F11</f>
        <v>1 MO. ENDED</v>
      </c>
      <c r="G12" s="2323"/>
      <c r="H12" s="1496" t="s">
        <v>6</v>
      </c>
      <c r="I12" s="1497"/>
      <c r="J12" s="1496" t="str">
        <f>F12</f>
        <v>1 MO. ENDED</v>
      </c>
      <c r="K12" s="2323"/>
      <c r="L12" s="1496" t="s">
        <v>6</v>
      </c>
      <c r="M12" s="1497"/>
      <c r="N12" s="1496" t="str">
        <f>F12</f>
        <v>1 MO. ENDED</v>
      </c>
      <c r="O12" s="2323"/>
      <c r="P12" s="1496" t="s">
        <v>6</v>
      </c>
      <c r="Q12" s="1497"/>
      <c r="R12" s="1496" t="str">
        <f>F12</f>
        <v>1 MO. ENDED</v>
      </c>
      <c r="S12" s="2307"/>
      <c r="T12" s="2323"/>
      <c r="U12" s="2323"/>
      <c r="V12" s="1496" t="s">
        <v>6</v>
      </c>
      <c r="W12" s="1496"/>
      <c r="X12" s="1496" t="str">
        <f>F12</f>
        <v>1 MO. ENDED</v>
      </c>
      <c r="Y12" s="1496"/>
      <c r="Z12" s="1498"/>
      <c r="AA12" s="1498"/>
      <c r="AB12" s="3473" t="s">
        <v>6</v>
      </c>
      <c r="AC12" s="3473"/>
      <c r="AD12" s="3473" t="str">
        <f>F12</f>
        <v>1 MO. ENDED</v>
      </c>
      <c r="AE12" s="3362"/>
      <c r="AF12" s="3362"/>
      <c r="AG12" s="3363"/>
      <c r="AH12" s="3364" t="s">
        <v>7</v>
      </c>
      <c r="AI12" s="1497"/>
      <c r="AJ12" s="2806" t="s">
        <v>8</v>
      </c>
      <c r="AK12" s="2807"/>
      <c r="AL12" s="2797"/>
    </row>
    <row r="13" spans="1:38" ht="15.5">
      <c r="A13" s="2225"/>
      <c r="B13" s="2225"/>
      <c r="C13" s="2225"/>
      <c r="D13" s="1499" t="str">
        <f>'Exhibit A'!D12</f>
        <v>APR. 2021</v>
      </c>
      <c r="E13" s="1502"/>
      <c r="F13" s="1499" t="str">
        <f>'Exhibit A'!F12</f>
        <v>APR. 30, 2021</v>
      </c>
      <c r="G13" s="2307"/>
      <c r="H13" s="1499" t="str">
        <f>D13</f>
        <v>APR. 2021</v>
      </c>
      <c r="I13" s="1502"/>
      <c r="J13" s="1499" t="str">
        <f>F13</f>
        <v>APR. 30, 2021</v>
      </c>
      <c r="K13" s="2307"/>
      <c r="L13" s="1499" t="str">
        <f>D13</f>
        <v>APR. 2021</v>
      </c>
      <c r="M13" s="1502"/>
      <c r="N13" s="1499" t="str">
        <f>F13</f>
        <v>APR. 30, 2021</v>
      </c>
      <c r="O13" s="2307"/>
      <c r="P13" s="1499" t="str">
        <f>D13</f>
        <v>APR. 2021</v>
      </c>
      <c r="Q13" s="1502"/>
      <c r="R13" s="1499" t="str">
        <f>F13</f>
        <v>APR. 30, 2021</v>
      </c>
      <c r="S13" s="2307"/>
      <c r="T13" s="2323"/>
      <c r="U13" s="2323"/>
      <c r="V13" s="1500" t="str">
        <f>D13</f>
        <v>APR. 2021</v>
      </c>
      <c r="W13" s="1501"/>
      <c r="X13" s="1500" t="str">
        <f>F13</f>
        <v>APR. 30, 2021</v>
      </c>
      <c r="Y13" s="1501"/>
      <c r="Z13" s="2808"/>
      <c r="AA13" s="2808"/>
      <c r="AB13" s="3474" t="str">
        <f>'Exhibit A'!AB12</f>
        <v>APR. 2020</v>
      </c>
      <c r="AC13" s="3108"/>
      <c r="AD13" s="3474" t="str">
        <f>'Exhibit A'!AD12</f>
        <v>APR. 30, 2020</v>
      </c>
      <c r="AE13" s="3108"/>
      <c r="AF13" s="3365"/>
      <c r="AG13" s="3366"/>
      <c r="AH13" s="3367" t="s">
        <v>11</v>
      </c>
      <c r="AI13" s="1502"/>
      <c r="AJ13" s="1499" t="s">
        <v>12</v>
      </c>
      <c r="AK13" s="2807"/>
      <c r="AL13" s="2809"/>
    </row>
    <row r="14" spans="1:38" ht="15.5">
      <c r="A14" s="2225"/>
      <c r="B14" s="2225"/>
      <c r="C14" s="2225"/>
      <c r="D14" s="2248"/>
      <c r="E14" s="2248"/>
      <c r="F14" s="2248"/>
      <c r="G14" s="2225"/>
      <c r="H14" s="2248"/>
      <c r="I14" s="2248"/>
      <c r="J14" s="2248"/>
      <c r="K14" s="2225"/>
      <c r="L14" s="2248"/>
      <c r="M14" s="2248"/>
      <c r="N14" s="2248"/>
      <c r="O14" s="2225"/>
      <c r="P14" s="2248"/>
      <c r="Q14" s="2248"/>
      <c r="R14" s="2248"/>
      <c r="S14" s="2225"/>
      <c r="T14" s="2810"/>
      <c r="U14" s="2810"/>
      <c r="V14" s="2811"/>
      <c r="W14" s="2248"/>
      <c r="X14" s="2811"/>
      <c r="Y14" s="2248"/>
      <c r="Z14" s="2812"/>
      <c r="AA14" s="2248"/>
      <c r="AB14" s="3475"/>
      <c r="AC14" s="3109"/>
      <c r="AD14" s="3475"/>
      <c r="AE14" s="3109"/>
      <c r="AF14" s="3522"/>
      <c r="AG14" s="3109"/>
      <c r="AH14" s="3109"/>
      <c r="AI14" s="2248"/>
      <c r="AJ14" s="2813"/>
      <c r="AK14" s="2797"/>
      <c r="AL14" s="2797"/>
    </row>
    <row r="15" spans="1:38" ht="18" customHeight="1">
      <c r="A15" s="2814" t="s">
        <v>1086</v>
      </c>
      <c r="B15" s="2815"/>
      <c r="C15" s="2815"/>
      <c r="D15" s="2225"/>
      <c r="E15" s="2225"/>
      <c r="F15" s="2225"/>
      <c r="G15" s="2225"/>
      <c r="H15" s="2225"/>
      <c r="I15" s="2225"/>
      <c r="J15" s="2225"/>
      <c r="K15" s="2225"/>
      <c r="L15" s="2225"/>
      <c r="M15" s="2225"/>
      <c r="N15" s="2225"/>
      <c r="O15" s="2225"/>
      <c r="P15" s="2225"/>
      <c r="Q15" s="2225"/>
      <c r="R15" s="2225"/>
      <c r="S15" s="2225"/>
      <c r="T15" s="2810"/>
      <c r="U15" s="2810"/>
      <c r="V15" s="2225"/>
      <c r="W15" s="2225"/>
      <c r="X15" s="2225"/>
      <c r="Y15" s="2225"/>
      <c r="Z15" s="2812"/>
      <c r="AA15" s="2248"/>
      <c r="AB15" s="2326"/>
      <c r="AC15" s="2326"/>
      <c r="AD15" s="2326"/>
      <c r="AE15" s="2326"/>
      <c r="AF15" s="3522"/>
      <c r="AG15" s="2326"/>
      <c r="AH15" s="2326"/>
      <c r="AI15" s="2225"/>
      <c r="AJ15" s="2813"/>
      <c r="AK15" s="2797"/>
      <c r="AL15" s="2797"/>
    </row>
    <row r="16" spans="1:38" s="2824" customFormat="1" ht="18" customHeight="1">
      <c r="A16" s="2816" t="s">
        <v>817</v>
      </c>
      <c r="B16" s="2816"/>
      <c r="C16" s="2817"/>
      <c r="D16" s="1780">
        <f>'Exhibit F'!D17</f>
        <v>3601.8</v>
      </c>
      <c r="E16" s="2818"/>
      <c r="F16" s="1780">
        <f>'Exhibit F'!AC17</f>
        <v>3601.8</v>
      </c>
      <c r="G16" s="2818"/>
      <c r="H16" s="1791">
        <v>0</v>
      </c>
      <c r="I16" s="2818"/>
      <c r="J16" s="1791">
        <v>0</v>
      </c>
      <c r="K16" s="2818"/>
      <c r="L16" s="1791">
        <v>0</v>
      </c>
      <c r="M16" s="2818"/>
      <c r="N16" s="1791">
        <v>0</v>
      </c>
      <c r="O16" s="2818"/>
      <c r="P16" s="1791">
        <v>0</v>
      </c>
      <c r="Q16" s="2818"/>
      <c r="R16" s="1791">
        <v>0</v>
      </c>
      <c r="S16" s="1780"/>
      <c r="T16" s="2819"/>
      <c r="U16" s="2820"/>
      <c r="V16" s="1822">
        <f t="shared" ref="V16:V20" si="0">SUM(D16)+SUM(H16)+SUM(L16)+SUM(P16)</f>
        <v>3601.8</v>
      </c>
      <c r="W16" s="2818"/>
      <c r="X16" s="1822">
        <f>SUM(F16)+SUM(J16)+SUM(N16)+SUM(R16)</f>
        <v>3601.8</v>
      </c>
      <c r="Y16" s="2821"/>
      <c r="Z16" s="2822"/>
      <c r="AA16" s="2818"/>
      <c r="AB16" s="3476">
        <v>3187.3</v>
      </c>
      <c r="AC16" s="2818"/>
      <c r="AD16" s="1822">
        <f>'Cashflow Governmental'!AE21</f>
        <v>3187.3</v>
      </c>
      <c r="AE16" s="1822"/>
      <c r="AF16" s="3522"/>
      <c r="AG16" s="2821"/>
      <c r="AH16" s="1822">
        <f>ROUND(SUM(X16)-SUM(AD16),1)</f>
        <v>414.5</v>
      </c>
      <c r="AI16" s="2397"/>
      <c r="AJ16" s="1823">
        <f>ROUND(AH16/AD16,3)</f>
        <v>0.13</v>
      </c>
      <c r="AK16" s="1824"/>
      <c r="AL16" s="2823"/>
    </row>
    <row r="17" spans="1:38" s="2824" customFormat="1" ht="18" customHeight="1">
      <c r="A17" s="2825" t="s">
        <v>882</v>
      </c>
      <c r="B17" s="2816"/>
      <c r="C17" s="2826"/>
      <c r="D17" s="617">
        <f>'Exhibit F'!D18</f>
        <v>3342.2000000000003</v>
      </c>
      <c r="E17" s="617"/>
      <c r="F17" s="617">
        <f>'Exhibit F'!AC18</f>
        <v>3342.2000000000003</v>
      </c>
      <c r="G17" s="617"/>
      <c r="H17" s="1782">
        <v>0</v>
      </c>
      <c r="I17" s="1784"/>
      <c r="J17" s="1783">
        <v>0</v>
      </c>
      <c r="K17" s="617"/>
      <c r="L17" s="1782">
        <v>0</v>
      </c>
      <c r="M17" s="1784"/>
      <c r="N17" s="1783">
        <v>0</v>
      </c>
      <c r="O17" s="617"/>
      <c r="P17" s="1782">
        <v>0</v>
      </c>
      <c r="Q17" s="1784"/>
      <c r="R17" s="1783">
        <v>0</v>
      </c>
      <c r="S17" s="617"/>
      <c r="T17" s="2827"/>
      <c r="U17" s="2827"/>
      <c r="V17" s="1784">
        <f t="shared" si="0"/>
        <v>3342.2000000000003</v>
      </c>
      <c r="W17" s="1413"/>
      <c r="X17" s="1784">
        <f t="shared" ref="X17:X24" si="1">SUM(F17)+SUM(J17)+SUM(N17)+SUM(R17)</f>
        <v>3342.2000000000003</v>
      </c>
      <c r="Y17" s="2828"/>
      <c r="Z17" s="2829"/>
      <c r="AA17" s="1413"/>
      <c r="AB17" s="1781">
        <v>211.6</v>
      </c>
      <c r="AC17" s="617"/>
      <c r="AD17" s="1784">
        <f>'Cashflow Governmental'!AE22</f>
        <v>211.6</v>
      </c>
      <c r="AE17" s="1784"/>
      <c r="AF17" s="3522"/>
      <c r="AG17" s="2828"/>
      <c r="AH17" s="1784">
        <f>ROUND(SUM(X17)-SUM(AD17),1)</f>
        <v>3130.6</v>
      </c>
      <c r="AI17" s="2830"/>
      <c r="AJ17" s="3901">
        <f>ROUND(AH17/AD17,3)</f>
        <v>14.795</v>
      </c>
      <c r="AK17" s="1824"/>
      <c r="AL17" s="2823"/>
    </row>
    <row r="18" spans="1:38" s="2824" customFormat="1" ht="18" customHeight="1">
      <c r="A18" s="2816" t="s">
        <v>818</v>
      </c>
      <c r="B18" s="2816" t="s">
        <v>14</v>
      </c>
      <c r="C18" s="2816"/>
      <c r="D18" s="617">
        <f>'Exhibit F'!D19</f>
        <v>913.6</v>
      </c>
      <c r="E18" s="617"/>
      <c r="F18" s="617">
        <f>'Exhibit F'!AC19</f>
        <v>913.6</v>
      </c>
      <c r="G18" s="617"/>
      <c r="H18" s="1782">
        <v>0</v>
      </c>
      <c r="I18" s="1784"/>
      <c r="J18" s="1783">
        <v>0</v>
      </c>
      <c r="K18" s="617"/>
      <c r="L18" s="1782">
        <v>0</v>
      </c>
      <c r="M18" s="1784"/>
      <c r="N18" s="1783">
        <v>0</v>
      </c>
      <c r="O18" s="617"/>
      <c r="P18" s="1782">
        <v>0</v>
      </c>
      <c r="Q18" s="1784"/>
      <c r="R18" s="1783">
        <v>0</v>
      </c>
      <c r="S18" s="617"/>
      <c r="T18" s="2827"/>
      <c r="U18" s="2827"/>
      <c r="V18" s="1784">
        <f t="shared" si="0"/>
        <v>913.6</v>
      </c>
      <c r="W18" s="1413"/>
      <c r="X18" s="1784">
        <f t="shared" si="1"/>
        <v>913.6</v>
      </c>
      <c r="Y18" s="2828"/>
      <c r="Z18" s="2829"/>
      <c r="AA18" s="1413"/>
      <c r="AB18" s="1781">
        <v>339.1</v>
      </c>
      <c r="AC18" s="617"/>
      <c r="AD18" s="1784">
        <f>'Cashflow Governmental'!AE23</f>
        <v>339.1</v>
      </c>
      <c r="AE18" s="1784"/>
      <c r="AF18" s="3522"/>
      <c r="AG18" s="2828"/>
      <c r="AH18" s="1784">
        <f>ROUND(SUM(X18)-SUM(AD18),1)</f>
        <v>574.5</v>
      </c>
      <c r="AI18" s="2830"/>
      <c r="AJ18" s="1824">
        <f>ROUND(AH18/AD18,3)</f>
        <v>1.694</v>
      </c>
      <c r="AK18" s="1824"/>
      <c r="AL18" s="2823"/>
    </row>
    <row r="19" spans="1:38" s="2824" customFormat="1" ht="18" customHeight="1">
      <c r="A19" s="2825" t="s">
        <v>819</v>
      </c>
      <c r="B19" s="2816"/>
      <c r="C19" s="2816"/>
      <c r="D19" s="617">
        <f>'Exhibit F'!D20</f>
        <v>-203</v>
      </c>
      <c r="E19" s="617"/>
      <c r="F19" s="617">
        <f>'Exhibit F'!AC20</f>
        <v>-203</v>
      </c>
      <c r="G19" s="617"/>
      <c r="H19" s="1782">
        <v>0</v>
      </c>
      <c r="I19" s="1784"/>
      <c r="J19" s="1783">
        <v>0</v>
      </c>
      <c r="K19" s="617"/>
      <c r="L19" s="1782">
        <v>0</v>
      </c>
      <c r="M19" s="1784"/>
      <c r="N19" s="1783">
        <v>0</v>
      </c>
      <c r="O19" s="617"/>
      <c r="P19" s="1782">
        <v>0</v>
      </c>
      <c r="Q19" s="1784"/>
      <c r="R19" s="1783">
        <v>0</v>
      </c>
      <c r="S19" s="617"/>
      <c r="T19" s="2827"/>
      <c r="U19" s="2827"/>
      <c r="V19" s="1784">
        <f t="shared" si="0"/>
        <v>-203</v>
      </c>
      <c r="W19" s="1413"/>
      <c r="X19" s="1784">
        <f t="shared" si="1"/>
        <v>-203</v>
      </c>
      <c r="Y19" s="2828"/>
      <c r="Z19" s="2829"/>
      <c r="AA19" s="1413"/>
      <c r="AB19" s="1781">
        <v>-69.8</v>
      </c>
      <c r="AC19" s="617"/>
      <c r="AD19" s="1784">
        <f>'Cashflow Governmental'!AE24</f>
        <v>-69.8</v>
      </c>
      <c r="AE19" s="1784"/>
      <c r="AF19" s="3522"/>
      <c r="AG19" s="2828"/>
      <c r="AH19" s="1784">
        <f>-ROUND(SUM(X19)-SUM(AD19),1)</f>
        <v>133.19999999999999</v>
      </c>
      <c r="AI19" s="2830"/>
      <c r="AJ19" s="1824">
        <f>-ROUND(AH19/AD19,3)</f>
        <v>1.9079999999999999</v>
      </c>
      <c r="AK19" s="1824"/>
      <c r="AL19" s="2823"/>
    </row>
    <row r="20" spans="1:38" s="2824" customFormat="1" ht="18" customHeight="1">
      <c r="A20" s="2825" t="s">
        <v>820</v>
      </c>
      <c r="B20" s="2816" t="s">
        <v>14</v>
      </c>
      <c r="C20" s="2816"/>
      <c r="D20" s="617">
        <f>'Exhibit F'!D21</f>
        <v>154.1</v>
      </c>
      <c r="E20" s="617"/>
      <c r="F20" s="617">
        <f>'Exhibit F'!AC21</f>
        <v>154.1</v>
      </c>
      <c r="G20" s="617"/>
      <c r="H20" s="1782">
        <v>0</v>
      </c>
      <c r="I20" s="1784"/>
      <c r="J20" s="1783">
        <v>0</v>
      </c>
      <c r="K20" s="617"/>
      <c r="L20" s="1782">
        <v>0</v>
      </c>
      <c r="M20" s="1784"/>
      <c r="N20" s="1783">
        <v>0</v>
      </c>
      <c r="O20" s="617"/>
      <c r="P20" s="1782">
        <v>0</v>
      </c>
      <c r="Q20" s="1784"/>
      <c r="R20" s="1783">
        <v>0</v>
      </c>
      <c r="S20" s="617"/>
      <c r="T20" s="2827"/>
      <c r="U20" s="2827"/>
      <c r="V20" s="1784">
        <f t="shared" si="0"/>
        <v>154.1</v>
      </c>
      <c r="W20" s="1413"/>
      <c r="X20" s="1784">
        <f t="shared" si="1"/>
        <v>154.1</v>
      </c>
      <c r="Y20" s="2828"/>
      <c r="Z20" s="2829"/>
      <c r="AA20" s="1413"/>
      <c r="AB20" s="1781">
        <v>107.4</v>
      </c>
      <c r="AC20" s="617"/>
      <c r="AD20" s="1784">
        <f>'Cashflow Governmental'!AE25</f>
        <v>107.4</v>
      </c>
      <c r="AE20" s="1784"/>
      <c r="AF20" s="3522"/>
      <c r="AG20" s="2828"/>
      <c r="AH20" s="1784">
        <f>ROUND(SUM(X20)-SUM(AD20),1)</f>
        <v>46.7</v>
      </c>
      <c r="AI20" s="2830"/>
      <c r="AJ20" s="3498">
        <f>ROUND(AH20/AD20,3)</f>
        <v>0.435</v>
      </c>
      <c r="AK20" s="1824"/>
      <c r="AL20" s="2823"/>
    </row>
    <row r="21" spans="1:38" s="2839" customFormat="1" ht="18" customHeight="1">
      <c r="A21" s="2831" t="s">
        <v>821</v>
      </c>
      <c r="B21" s="2831"/>
      <c r="C21" s="2831"/>
      <c r="D21" s="1792">
        <f>ROUND(SUM(D16:D20),1)</f>
        <v>7808.7</v>
      </c>
      <c r="E21" s="1471"/>
      <c r="F21" s="1792">
        <f>ROUND(SUM(F16:F20),1)</f>
        <v>7808.7</v>
      </c>
      <c r="G21" s="23"/>
      <c r="H21" s="1792">
        <f>ROUND(SUM(H16:H20),1)</f>
        <v>0</v>
      </c>
      <c r="I21" s="2832"/>
      <c r="J21" s="1792">
        <f>ROUND(SUM(J16:J20),1)</f>
        <v>0</v>
      </c>
      <c r="K21" s="23"/>
      <c r="L21" s="1792">
        <f>ROUND(SUM(L16:L20),1)</f>
        <v>0</v>
      </c>
      <c r="M21" s="2832"/>
      <c r="N21" s="1792">
        <f>ROUND(SUM(N16:N20),1)</f>
        <v>0</v>
      </c>
      <c r="O21" s="23"/>
      <c r="P21" s="1792">
        <f>ROUND(SUM(P16:P20),1)</f>
        <v>0</v>
      </c>
      <c r="Q21" s="2832"/>
      <c r="R21" s="1792">
        <f>ROUND(SUM(R16:R20),1)</f>
        <v>0</v>
      </c>
      <c r="S21" s="23"/>
      <c r="T21" s="2833"/>
      <c r="U21" s="2833"/>
      <c r="V21" s="2834">
        <f>ROUND(SUM(V16:V20),1)</f>
        <v>7808.7</v>
      </c>
      <c r="W21" s="1471"/>
      <c r="X21" s="2834">
        <f>ROUND(SUM(X16:X20),1)</f>
        <v>7808.7</v>
      </c>
      <c r="Y21" s="2835"/>
      <c r="Z21" s="2305"/>
      <c r="AA21" s="1471"/>
      <c r="AB21" s="1453">
        <f>ROUND(SUM(AB16:AB20),1)</f>
        <v>3775.6</v>
      </c>
      <c r="AC21" s="23"/>
      <c r="AD21" s="3836">
        <f>ROUND(SUM(AD16:AD20),1)</f>
        <v>3775.6</v>
      </c>
      <c r="AE21" s="2832"/>
      <c r="AF21" s="3522"/>
      <c r="AG21" s="2835"/>
      <c r="AH21" s="3543">
        <f>ROUND(SUM(X21)-SUM(AD21),1)</f>
        <v>4033.1</v>
      </c>
      <c r="AI21" s="2836"/>
      <c r="AJ21" s="3499">
        <f>ROUND(AH21/AD21,3)</f>
        <v>1.0680000000000001</v>
      </c>
      <c r="AK21" s="2837"/>
      <c r="AL21" s="2838"/>
    </row>
    <row r="22" spans="1:38" s="2824" customFormat="1" ht="18" customHeight="1">
      <c r="A22" s="2825" t="s">
        <v>822</v>
      </c>
      <c r="B22" s="2816"/>
      <c r="C22" s="2816"/>
      <c r="D22" s="1781">
        <f>'Exhibit F'!D23</f>
        <v>0</v>
      </c>
      <c r="E22" s="1784"/>
      <c r="F22" s="1781">
        <f>'Exhibit F'!AC23</f>
        <v>0</v>
      </c>
      <c r="G22" s="617"/>
      <c r="H22" s="617">
        <f>'Exhibit G'!D17</f>
        <v>0</v>
      </c>
      <c r="I22" s="1784"/>
      <c r="J22" s="1797">
        <f>'Exhibit G'!AD17</f>
        <v>0</v>
      </c>
      <c r="K22" s="617"/>
      <c r="L22" s="1793">
        <v>0</v>
      </c>
      <c r="M22" s="1784"/>
      <c r="N22" s="1793">
        <v>0</v>
      </c>
      <c r="O22" s="617"/>
      <c r="P22" s="1793">
        <v>0</v>
      </c>
      <c r="Q22" s="1784"/>
      <c r="R22" s="1793">
        <v>0</v>
      </c>
      <c r="S22" s="617"/>
      <c r="T22" s="2827"/>
      <c r="U22" s="2827"/>
      <c r="V22" s="2840">
        <f>SUM(D22)+SUM(H22)+SUM(L22)+SUM(P22)</f>
        <v>0</v>
      </c>
      <c r="W22" s="1413"/>
      <c r="X22" s="2840">
        <f t="shared" si="1"/>
        <v>0</v>
      </c>
      <c r="Y22" s="2828"/>
      <c r="Z22" s="2829"/>
      <c r="AA22" s="1413"/>
      <c r="AB22" s="1781">
        <v>0</v>
      </c>
      <c r="AC22" s="1413"/>
      <c r="AD22" s="1784">
        <f>'Cashflow Governmental'!AE27</f>
        <v>0</v>
      </c>
      <c r="AE22" s="1782"/>
      <c r="AF22" s="3522"/>
      <c r="AG22" s="2828"/>
      <c r="AH22" s="1783">
        <f>ROUND(SUM(X22)-SUM(AD22),1)</f>
        <v>0</v>
      </c>
      <c r="AI22" s="2830"/>
      <c r="AJ22" s="1716">
        <f>ROUND(IF(AD22=0,0,AH22/(AD22)),3)</f>
        <v>0</v>
      </c>
      <c r="AK22" s="2841"/>
      <c r="AL22" s="2823"/>
    </row>
    <row r="23" spans="1:38" s="2824" customFormat="1" ht="18" customHeight="1">
      <c r="A23" s="2825" t="s">
        <v>823</v>
      </c>
      <c r="B23" s="2816"/>
      <c r="C23" s="2816"/>
      <c r="D23" s="1781">
        <f>'Exhibit F'!D24</f>
        <v>-3262.9</v>
      </c>
      <c r="E23" s="617"/>
      <c r="F23" s="1781">
        <f>'Exhibit F'!AC24</f>
        <v>-3262.9</v>
      </c>
      <c r="G23" s="617"/>
      <c r="H23" s="1782">
        <v>0</v>
      </c>
      <c r="I23" s="1784"/>
      <c r="J23" s="1783">
        <v>0</v>
      </c>
      <c r="K23" s="617"/>
      <c r="L23" s="1784">
        <f>'Exhibit H'!B16</f>
        <v>3262.9</v>
      </c>
      <c r="M23" s="1784"/>
      <c r="N23" s="1784">
        <f>'Exhibit H'!AA16</f>
        <v>3262.9</v>
      </c>
      <c r="O23" s="617"/>
      <c r="P23" s="1782">
        <v>0</v>
      </c>
      <c r="Q23" s="1784"/>
      <c r="R23" s="1783">
        <v>0</v>
      </c>
      <c r="S23" s="617"/>
      <c r="T23" s="2827"/>
      <c r="U23" s="2827"/>
      <c r="V23" s="1784">
        <f>ROUND(SUM(D23)+SUM(H23)+SUM(L23)+SUM(P23),1)</f>
        <v>0</v>
      </c>
      <c r="W23" s="1413"/>
      <c r="X23" s="1784">
        <f t="shared" si="1"/>
        <v>0</v>
      </c>
      <c r="Y23" s="2828"/>
      <c r="Z23" s="2829"/>
      <c r="AA23" s="1413"/>
      <c r="AB23" s="1781">
        <v>0</v>
      </c>
      <c r="AC23" s="1413"/>
      <c r="AD23" s="1784">
        <f>'Cashflow Governmental'!AE28</f>
        <v>0</v>
      </c>
      <c r="AE23" s="1782"/>
      <c r="AF23" s="3522"/>
      <c r="AG23" s="2828"/>
      <c r="AH23" s="1783">
        <f>ROUND(SUM(X23)-SUM(AD23),1)</f>
        <v>0</v>
      </c>
      <c r="AI23" s="2830"/>
      <c r="AJ23" s="1716">
        <f>ROUND(IF(AD23=0,0,AH23/(AD23)),3)</f>
        <v>0</v>
      </c>
      <c r="AK23" s="2841"/>
      <c r="AL23" s="2823"/>
    </row>
    <row r="24" spans="1:38" s="2824" customFormat="1" ht="18" customHeight="1">
      <c r="A24" s="2816" t="s">
        <v>824</v>
      </c>
      <c r="B24" s="2816"/>
      <c r="C24" s="2816"/>
      <c r="D24" s="1781">
        <f>'Exhibit F'!D25</f>
        <v>-1282.9000000000001</v>
      </c>
      <c r="E24" s="1413"/>
      <c r="F24" s="1781">
        <f>'Exhibit F'!AC25</f>
        <v>-1282.9000000000001</v>
      </c>
      <c r="G24" s="617"/>
      <c r="H24" s="1782">
        <v>0</v>
      </c>
      <c r="I24" s="1784"/>
      <c r="J24" s="1783">
        <v>0</v>
      </c>
      <c r="K24" s="617"/>
      <c r="L24" s="1782">
        <v>0</v>
      </c>
      <c r="M24" s="1784"/>
      <c r="N24" s="1783">
        <v>0</v>
      </c>
      <c r="O24" s="617"/>
      <c r="P24" s="1782">
        <v>0</v>
      </c>
      <c r="Q24" s="1784"/>
      <c r="R24" s="1783">
        <v>0</v>
      </c>
      <c r="S24" s="617"/>
      <c r="T24" s="2827"/>
      <c r="U24" s="2827"/>
      <c r="V24" s="1784">
        <f>SUM(D24)+SUM(H24)+SUM(L24)+SUM(P24)</f>
        <v>-1282.9000000000001</v>
      </c>
      <c r="W24" s="1413"/>
      <c r="X24" s="1784">
        <f t="shared" si="1"/>
        <v>-1282.9000000000001</v>
      </c>
      <c r="Y24" s="2828"/>
      <c r="Z24" s="2829"/>
      <c r="AA24" s="1413"/>
      <c r="AB24" s="1781">
        <v>-1709.4</v>
      </c>
      <c r="AC24" s="617"/>
      <c r="AD24" s="1784">
        <f>'Cashflow Governmental'!AE29</f>
        <v>-1709.4</v>
      </c>
      <c r="AE24" s="1784"/>
      <c r="AF24" s="3522"/>
      <c r="AG24" s="2828"/>
      <c r="AH24" s="1784">
        <f>-ROUND(SUM(X24)-SUM(AD24),1)</f>
        <v>-426.5</v>
      </c>
      <c r="AI24" s="2830"/>
      <c r="AJ24" s="1825">
        <f>-ROUND(AH24/AD24,3)</f>
        <v>-0.25</v>
      </c>
      <c r="AK24" s="1824"/>
      <c r="AL24" s="2823"/>
    </row>
    <row r="25" spans="1:38" s="2824" customFormat="1" ht="18" customHeight="1">
      <c r="A25" s="2842" t="s">
        <v>825</v>
      </c>
      <c r="B25" s="2816"/>
      <c r="C25" s="2816"/>
      <c r="D25" s="1794">
        <f>ROUND(SUM(D21:D24),1)</f>
        <v>3262.9</v>
      </c>
      <c r="E25" s="1471"/>
      <c r="F25" s="1794">
        <f>ROUND(SUM(F21:F24),1)</f>
        <v>3262.9</v>
      </c>
      <c r="G25" s="23"/>
      <c r="H25" s="1794">
        <f>ROUND(SUM(H21:H24),1)</f>
        <v>0</v>
      </c>
      <c r="I25" s="2832"/>
      <c r="J25" s="1794">
        <f>ROUND(SUM(J21:J24),1)</f>
        <v>0</v>
      </c>
      <c r="K25" s="23"/>
      <c r="L25" s="1794">
        <f>ROUND(SUM(L21:L24),1)</f>
        <v>3262.9</v>
      </c>
      <c r="M25" s="2832"/>
      <c r="N25" s="1794">
        <f>ROUND(SUM(N21:N24),1)</f>
        <v>3262.9</v>
      </c>
      <c r="O25" s="23"/>
      <c r="P25" s="1794">
        <f>ROUND(SUM(P21:P24),1)</f>
        <v>0</v>
      </c>
      <c r="Q25" s="2832"/>
      <c r="R25" s="1794">
        <f>ROUND(SUM(R21:R24),1)</f>
        <v>0</v>
      </c>
      <c r="S25" s="23"/>
      <c r="T25" s="2833"/>
      <c r="U25" s="2833"/>
      <c r="V25" s="2834">
        <f>ROUND(SUM(V21:V24),1)</f>
        <v>6525.8</v>
      </c>
      <c r="W25" s="1471"/>
      <c r="X25" s="2834">
        <f>ROUND(SUM(X21:X24),1)</f>
        <v>6525.8</v>
      </c>
      <c r="Y25" s="2843"/>
      <c r="Z25" s="2305"/>
      <c r="AA25" s="1471"/>
      <c r="AB25" s="3477">
        <f>ROUND(SUM(AB21:AB24),1)</f>
        <v>2066.1999999999998</v>
      </c>
      <c r="AC25" s="23"/>
      <c r="AD25" s="2834">
        <f>ROUND(SUM(AD21:AD24),1)</f>
        <v>2066.1999999999998</v>
      </c>
      <c r="AE25" s="1471" t="s">
        <v>14</v>
      </c>
      <c r="AF25" s="3522"/>
      <c r="AG25" s="2835"/>
      <c r="AH25" s="1826">
        <f>ROUND(SUM(X25)-SUM(AD25),1)</f>
        <v>4459.6000000000004</v>
      </c>
      <c r="AI25" s="2836"/>
      <c r="AJ25" s="1827">
        <f>ROUND(AH25/AD25,3)</f>
        <v>2.1579999999999999</v>
      </c>
      <c r="AK25" s="2837"/>
      <c r="AL25" s="2838"/>
    </row>
    <row r="26" spans="1:38" ht="18" customHeight="1">
      <c r="A26" s="2815"/>
      <c r="B26" s="2815"/>
      <c r="C26" s="2815"/>
      <c r="D26" s="1506"/>
      <c r="E26" s="613"/>
      <c r="F26" s="1795" t="s">
        <v>14</v>
      </c>
      <c r="G26" s="617"/>
      <c r="H26" s="1795"/>
      <c r="I26" s="1413"/>
      <c r="J26" s="1795" t="s">
        <v>1175</v>
      </c>
      <c r="K26" s="617"/>
      <c r="L26" s="1795" t="s">
        <v>14</v>
      </c>
      <c r="M26" s="1413"/>
      <c r="N26" s="1795" t="s">
        <v>14</v>
      </c>
      <c r="O26" s="617"/>
      <c r="P26" s="1795"/>
      <c r="Q26" s="1413"/>
      <c r="R26" s="1795"/>
      <c r="S26" s="617"/>
      <c r="T26" s="2827"/>
      <c r="U26" s="2827"/>
      <c r="V26" s="1795"/>
      <c r="W26" s="1413"/>
      <c r="X26" s="1795"/>
      <c r="Y26" s="1413"/>
      <c r="Z26" s="2829"/>
      <c r="AA26" s="1413"/>
      <c r="AB26" s="1795"/>
      <c r="AC26" s="617"/>
      <c r="AD26" s="1795"/>
      <c r="AE26" s="1413"/>
      <c r="AF26" s="3522"/>
      <c r="AG26" s="1413"/>
      <c r="AH26" s="1413"/>
      <c r="AI26" s="610"/>
      <c r="AJ26" s="2844"/>
      <c r="AK26" s="2845"/>
      <c r="AL26" s="2797"/>
    </row>
    <row r="27" spans="1:38" ht="18" customHeight="1">
      <c r="A27" s="2846" t="s">
        <v>1087</v>
      </c>
      <c r="B27" s="2815"/>
      <c r="C27" s="2847"/>
      <c r="D27" s="3903"/>
      <c r="E27" s="612"/>
      <c r="F27" s="617"/>
      <c r="G27" s="617"/>
      <c r="H27" s="617"/>
      <c r="I27" s="617"/>
      <c r="J27" s="617"/>
      <c r="K27" s="617"/>
      <c r="L27" s="617"/>
      <c r="M27" s="617"/>
      <c r="N27" s="617"/>
      <c r="O27" s="617"/>
      <c r="P27" s="617"/>
      <c r="Q27" s="617"/>
      <c r="R27" s="617"/>
      <c r="S27" s="617"/>
      <c r="T27" s="2827"/>
      <c r="U27" s="2827"/>
      <c r="V27" s="1413"/>
      <c r="W27" s="1413"/>
      <c r="X27" s="617"/>
      <c r="Y27" s="617"/>
      <c r="Z27" s="2829"/>
      <c r="AA27" s="1413"/>
      <c r="AB27" s="617"/>
      <c r="AC27" s="617"/>
      <c r="AD27" s="617"/>
      <c r="AE27" s="617"/>
      <c r="AF27" s="3522"/>
      <c r="AG27" s="617"/>
      <c r="AH27" s="617"/>
      <c r="AI27" s="2251"/>
      <c r="AJ27" s="2844"/>
      <c r="AK27" s="2845"/>
      <c r="AL27" s="2797"/>
    </row>
    <row r="28" spans="1:38" s="2824" customFormat="1" ht="18" customHeight="1">
      <c r="A28" s="2816" t="s">
        <v>826</v>
      </c>
      <c r="B28" s="2816"/>
      <c r="C28" s="2816"/>
      <c r="D28" s="617">
        <f>'Exhibit F'!D28</f>
        <v>292.8</v>
      </c>
      <c r="E28" s="617"/>
      <c r="F28" s="617">
        <f>'Exhibit F'!AC28</f>
        <v>292.8</v>
      </c>
      <c r="G28" s="617"/>
      <c r="H28" s="617">
        <f>'Exhibit G'!D20</f>
        <v>109.2</v>
      </c>
      <c r="I28" s="617"/>
      <c r="J28" s="617">
        <f>'Exhibit G'!AD20</f>
        <v>109.2</v>
      </c>
      <c r="K28" s="617"/>
      <c r="L28" s="1784">
        <f>'Exhibit H'!B19</f>
        <v>895.4</v>
      </c>
      <c r="M28" s="1784"/>
      <c r="N28" s="1784">
        <f>'Exhibit H'!AA19</f>
        <v>895.4</v>
      </c>
      <c r="O28" s="617"/>
      <c r="P28" s="1782">
        <v>0</v>
      </c>
      <c r="Q28" s="1784"/>
      <c r="R28" s="1783">
        <v>0</v>
      </c>
      <c r="S28" s="617"/>
      <c r="T28" s="2827"/>
      <c r="U28" s="2827"/>
      <c r="V28" s="1784">
        <f t="shared" ref="V28:V33" si="2">SUM(D28)+SUM(H28)+SUM(L28)+SUM(P28)</f>
        <v>1297.4000000000001</v>
      </c>
      <c r="W28" s="1413"/>
      <c r="X28" s="1784">
        <f t="shared" ref="X28:X34" si="3">SUM(F28)+SUM(J28)+SUM(N28)+SUM(R28)</f>
        <v>1297.4000000000001</v>
      </c>
      <c r="Y28" s="617"/>
      <c r="Z28" s="2829"/>
      <c r="AA28" s="1413"/>
      <c r="AB28" s="1781">
        <v>869.4</v>
      </c>
      <c r="AC28" s="617"/>
      <c r="AD28" s="1784">
        <f>'Cashflow Governmental'!AE32</f>
        <v>869.4</v>
      </c>
      <c r="AE28" s="1784"/>
      <c r="AF28" s="3522"/>
      <c r="AG28" s="617"/>
      <c r="AH28" s="617">
        <f t="shared" ref="AH28:AH37" si="4">ROUND(SUM(X28)-SUM(AD28),1)</f>
        <v>428</v>
      </c>
      <c r="AI28" s="2830"/>
      <c r="AJ28" s="1824">
        <f t="shared" ref="AJ28:AJ37" si="5">ROUND(AH28/AD28,3)</f>
        <v>0.49199999999999999</v>
      </c>
      <c r="AK28" s="1824"/>
      <c r="AL28" s="2823"/>
    </row>
    <row r="29" spans="1:38" s="2824" customFormat="1" ht="18" customHeight="1">
      <c r="A29" s="2825" t="s">
        <v>827</v>
      </c>
      <c r="B29" s="2816"/>
      <c r="C29" s="2848"/>
      <c r="D29" s="617">
        <f>'Exhibit F'!D29</f>
        <v>0</v>
      </c>
      <c r="E29" s="1784"/>
      <c r="F29" s="617">
        <f>'Exhibit F'!AC29</f>
        <v>0</v>
      </c>
      <c r="G29" s="617"/>
      <c r="H29" s="617">
        <f>'Exhibit G'!D21</f>
        <v>-0.2</v>
      </c>
      <c r="I29" s="1784"/>
      <c r="J29" s="617">
        <f>'Exhibit G'!AD21</f>
        <v>-0.2</v>
      </c>
      <c r="K29" s="617"/>
      <c r="L29" s="1782">
        <v>0</v>
      </c>
      <c r="M29" s="1784"/>
      <c r="N29" s="1783">
        <v>0</v>
      </c>
      <c r="O29" s="617"/>
      <c r="P29" s="1781">
        <f>'Exhibit I'!E20</f>
        <v>2.1</v>
      </c>
      <c r="Q29" s="617"/>
      <c r="R29" s="1781">
        <f>'Exhibit I'!AF20</f>
        <v>2.1</v>
      </c>
      <c r="S29" s="617"/>
      <c r="T29" s="2827"/>
      <c r="U29" s="2827"/>
      <c r="V29" s="1784">
        <f t="shared" si="2"/>
        <v>1.9000000000000001</v>
      </c>
      <c r="W29" s="1413"/>
      <c r="X29" s="1784">
        <f t="shared" si="3"/>
        <v>1.9000000000000001</v>
      </c>
      <c r="Y29" s="2828"/>
      <c r="Z29" s="2829"/>
      <c r="AA29" s="1413"/>
      <c r="AB29" s="1781">
        <v>0.5</v>
      </c>
      <c r="AC29" s="617"/>
      <c r="AD29" s="1784">
        <f>'Cashflow Governmental'!AE33</f>
        <v>0.5</v>
      </c>
      <c r="AE29" s="1784"/>
      <c r="AF29" s="3522"/>
      <c r="AG29" s="2828"/>
      <c r="AH29" s="1784">
        <f t="shared" si="4"/>
        <v>1.4</v>
      </c>
      <c r="AI29" s="2849"/>
      <c r="AJ29" s="1824">
        <f t="shared" si="5"/>
        <v>2.8</v>
      </c>
      <c r="AK29" s="1824"/>
      <c r="AL29" s="2823"/>
    </row>
    <row r="30" spans="1:38" ht="18" customHeight="1">
      <c r="A30" s="2815" t="s">
        <v>828</v>
      </c>
      <c r="B30" s="2815"/>
      <c r="C30" s="2815"/>
      <c r="D30" s="617">
        <f>'Exhibit F'!D30</f>
        <v>28.6</v>
      </c>
      <c r="E30" s="617"/>
      <c r="F30" s="617">
        <f>'Exhibit F'!AC30</f>
        <v>28.6</v>
      </c>
      <c r="G30" s="617"/>
      <c r="H30" s="617">
        <f>'Exhibit G'!D22</f>
        <v>69.7</v>
      </c>
      <c r="I30" s="1784"/>
      <c r="J30" s="617">
        <f>'Exhibit G'!AD22</f>
        <v>69.7</v>
      </c>
      <c r="K30" s="617"/>
      <c r="L30" s="1782">
        <v>0</v>
      </c>
      <c r="M30" s="1784"/>
      <c r="N30" s="1783">
        <v>0</v>
      </c>
      <c r="O30" s="617"/>
      <c r="P30" s="1782">
        <v>0</v>
      </c>
      <c r="Q30" s="1784"/>
      <c r="R30" s="1783">
        <v>0</v>
      </c>
      <c r="S30" s="617"/>
      <c r="T30" s="2827"/>
      <c r="U30" s="2827"/>
      <c r="V30" s="1784">
        <f t="shared" si="2"/>
        <v>98.300000000000011</v>
      </c>
      <c r="W30" s="1413"/>
      <c r="X30" s="1784">
        <f t="shared" si="3"/>
        <v>98.300000000000011</v>
      </c>
      <c r="Y30" s="2828"/>
      <c r="Z30" s="2829"/>
      <c r="AA30" s="1413"/>
      <c r="AB30" s="1781">
        <v>98.8</v>
      </c>
      <c r="AC30" s="617"/>
      <c r="AD30" s="1784">
        <f>'Cashflow Governmental'!AE34</f>
        <v>98.8</v>
      </c>
      <c r="AE30" s="1797"/>
      <c r="AF30" s="3523"/>
      <c r="AG30" s="2828"/>
      <c r="AH30" s="1784">
        <f t="shared" si="4"/>
        <v>-0.5</v>
      </c>
      <c r="AI30" s="2850"/>
      <c r="AJ30" s="1503">
        <f t="shared" si="5"/>
        <v>-5.0000000000000001E-3</v>
      </c>
      <c r="AK30" s="1503"/>
      <c r="AL30" s="2797"/>
    </row>
    <row r="31" spans="1:38" ht="18" customHeight="1">
      <c r="A31" s="2815" t="s">
        <v>1170</v>
      </c>
      <c r="B31" s="2815"/>
      <c r="C31" s="2815"/>
      <c r="D31" s="617">
        <v>0</v>
      </c>
      <c r="E31" s="617"/>
      <c r="F31" s="617">
        <v>0</v>
      </c>
      <c r="G31" s="617"/>
      <c r="H31" s="617">
        <f>'Exhibit G'!D23</f>
        <v>1.5</v>
      </c>
      <c r="I31" s="1784"/>
      <c r="J31" s="617">
        <f>'Exhibit G'!AD23</f>
        <v>1.5</v>
      </c>
      <c r="K31" s="617"/>
      <c r="L31" s="1782">
        <v>0</v>
      </c>
      <c r="M31" s="1784"/>
      <c r="N31" s="1783">
        <v>0</v>
      </c>
      <c r="O31" s="617"/>
      <c r="P31" s="1782">
        <v>0</v>
      </c>
      <c r="Q31" s="1784"/>
      <c r="R31" s="1783">
        <v>0</v>
      </c>
      <c r="S31" s="617"/>
      <c r="T31" s="2827"/>
      <c r="U31" s="2827"/>
      <c r="V31" s="1784">
        <f>SUM(D31)+SUM(H31)+SUM(L31)+SUM(P31)</f>
        <v>1.5</v>
      </c>
      <c r="W31" s="1413"/>
      <c r="X31" s="1784">
        <f>SUM(F31)+SUM(J31)+SUM(N31)+SUM(R31)</f>
        <v>1.5</v>
      </c>
      <c r="Y31" s="2828"/>
      <c r="Z31" s="2829"/>
      <c r="AA31" s="1413"/>
      <c r="AB31" s="1781">
        <v>0.5</v>
      </c>
      <c r="AC31" s="617"/>
      <c r="AD31" s="1784">
        <f>'Cashflow Governmental'!AE35</f>
        <v>0.5</v>
      </c>
      <c r="AE31" s="1797"/>
      <c r="AF31" s="3523"/>
      <c r="AG31" s="2828"/>
      <c r="AH31" s="1784">
        <f>ROUND(SUM(X31)-SUM(AD31),1)</f>
        <v>1</v>
      </c>
      <c r="AI31" s="2850"/>
      <c r="AJ31" s="1431">
        <f>ROUND(IF(AD31=0,0,AH31/(AD31)),3)</f>
        <v>2</v>
      </c>
      <c r="AK31" s="1503"/>
      <c r="AL31" s="2797"/>
    </row>
    <row r="32" spans="1:38" ht="18" customHeight="1">
      <c r="A32" s="2815" t="s">
        <v>829</v>
      </c>
      <c r="B32" s="2815"/>
      <c r="C32" s="2815"/>
      <c r="D32" s="617">
        <f>'Exhibit F'!D31</f>
        <v>0</v>
      </c>
      <c r="E32" s="1784"/>
      <c r="F32" s="617">
        <f>'Exhibit F'!AC31</f>
        <v>0</v>
      </c>
      <c r="G32" s="617"/>
      <c r="H32" s="617">
        <f>'Exhibit G'!D24</f>
        <v>7.2</v>
      </c>
      <c r="I32" s="1784"/>
      <c r="J32" s="617">
        <f>'Exhibit G'!AD24</f>
        <v>7.2</v>
      </c>
      <c r="K32" s="617"/>
      <c r="L32" s="1782">
        <v>0</v>
      </c>
      <c r="M32" s="1784"/>
      <c r="N32" s="1783">
        <v>0</v>
      </c>
      <c r="O32" s="617"/>
      <c r="P32" s="617">
        <f>'Exhibit I'!E21</f>
        <v>26.9</v>
      </c>
      <c r="Q32" s="1784"/>
      <c r="R32" s="617">
        <f>'Exhibit I'!AF21</f>
        <v>26.9</v>
      </c>
      <c r="S32" s="617"/>
      <c r="T32" s="2827"/>
      <c r="U32" s="2827"/>
      <c r="V32" s="1784">
        <f t="shared" si="2"/>
        <v>34.1</v>
      </c>
      <c r="W32" s="1413"/>
      <c r="X32" s="1784">
        <f t="shared" si="3"/>
        <v>34.1</v>
      </c>
      <c r="Y32" s="617"/>
      <c r="Z32" s="2829"/>
      <c r="AA32" s="1413"/>
      <c r="AB32" s="1781">
        <v>30.3</v>
      </c>
      <c r="AC32" s="617"/>
      <c r="AD32" s="1784">
        <f>'Cashflow Governmental'!AE36</f>
        <v>30.299999999999997</v>
      </c>
      <c r="AE32" s="1784"/>
      <c r="AF32" s="3523"/>
      <c r="AG32" s="617"/>
      <c r="AH32" s="1784">
        <f t="shared" si="4"/>
        <v>3.8</v>
      </c>
      <c r="AI32" s="2251"/>
      <c r="AJ32" s="1503">
        <f t="shared" si="5"/>
        <v>0.125</v>
      </c>
      <c r="AK32" s="1503"/>
      <c r="AL32" s="2797"/>
    </row>
    <row r="33" spans="1:38" ht="18" customHeight="1">
      <c r="A33" s="2815" t="s">
        <v>830</v>
      </c>
      <c r="B33" s="2815"/>
      <c r="C33" s="2815"/>
      <c r="D33" s="617">
        <f>'Exhibit F'!D32</f>
        <v>23</v>
      </c>
      <c r="E33" s="617"/>
      <c r="F33" s="617">
        <f>'Exhibit F'!AC32</f>
        <v>23</v>
      </c>
      <c r="G33" s="617"/>
      <c r="H33" s="617">
        <f>'Exhibit G'!D25</f>
        <v>0</v>
      </c>
      <c r="I33" s="1784"/>
      <c r="J33" s="617">
        <f>'Exhibit G'!AD25</f>
        <v>0</v>
      </c>
      <c r="K33" s="617"/>
      <c r="L33" s="1782">
        <v>0</v>
      </c>
      <c r="M33" s="1784"/>
      <c r="N33" s="1783">
        <v>0</v>
      </c>
      <c r="O33" s="617"/>
      <c r="P33" s="1782">
        <v>0</v>
      </c>
      <c r="Q33" s="1784"/>
      <c r="R33" s="1783">
        <v>0</v>
      </c>
      <c r="S33" s="617"/>
      <c r="T33" s="2827"/>
      <c r="U33" s="2827"/>
      <c r="V33" s="1784">
        <f t="shared" si="2"/>
        <v>23</v>
      </c>
      <c r="W33" s="1413"/>
      <c r="X33" s="1784">
        <f t="shared" si="3"/>
        <v>23</v>
      </c>
      <c r="Y33" s="2828"/>
      <c r="Z33" s="2829"/>
      <c r="AA33" s="1413"/>
      <c r="AB33" s="1781">
        <v>26.7</v>
      </c>
      <c r="AC33" s="617"/>
      <c r="AD33" s="1784">
        <f>'Cashflow Governmental'!AE37</f>
        <v>26.7</v>
      </c>
      <c r="AE33" s="1784"/>
      <c r="AF33" s="3523"/>
      <c r="AG33" s="2828"/>
      <c r="AH33" s="1784">
        <f t="shared" si="4"/>
        <v>-3.7</v>
      </c>
      <c r="AI33" s="2850"/>
      <c r="AJ33" s="1503">
        <f t="shared" si="5"/>
        <v>-0.13900000000000001</v>
      </c>
      <c r="AK33" s="1503"/>
      <c r="AL33" s="2797"/>
    </row>
    <row r="34" spans="1:38" ht="18" customHeight="1">
      <c r="A34" s="2815" t="s">
        <v>831</v>
      </c>
      <c r="B34" s="2815"/>
      <c r="C34" s="2815"/>
      <c r="D34" s="617">
        <f>'Exhibit F'!D33</f>
        <v>0</v>
      </c>
      <c r="E34" s="1784"/>
      <c r="F34" s="617">
        <f>'Exhibit F'!AC33</f>
        <v>0</v>
      </c>
      <c r="G34" s="617"/>
      <c r="H34" s="617">
        <f>'Exhibit G'!D26</f>
        <v>0.1</v>
      </c>
      <c r="I34" s="1784"/>
      <c r="J34" s="617">
        <f>'Exhibit G'!AD26</f>
        <v>0.1</v>
      </c>
      <c r="K34" s="617"/>
      <c r="L34" s="1782">
        <v>0</v>
      </c>
      <c r="M34" s="1784"/>
      <c r="N34" s="1783">
        <v>0</v>
      </c>
      <c r="O34" s="617"/>
      <c r="P34" s="617">
        <f>'Exhibit I'!E22</f>
        <v>14.5</v>
      </c>
      <c r="Q34" s="1784"/>
      <c r="R34" s="617">
        <f>'Exhibit I'!AF22</f>
        <v>14.5</v>
      </c>
      <c r="S34" s="617"/>
      <c r="T34" s="2827"/>
      <c r="U34" s="2827"/>
      <c r="V34" s="1784">
        <f>SUM(D34)+SUM(H34)+SUM(L34)+SUM(P34)</f>
        <v>14.6</v>
      </c>
      <c r="W34" s="1413"/>
      <c r="X34" s="1784">
        <f t="shared" si="3"/>
        <v>14.6</v>
      </c>
      <c r="Y34" s="2828"/>
      <c r="Z34" s="2829"/>
      <c r="AA34" s="1413"/>
      <c r="AB34" s="1781">
        <v>11.6</v>
      </c>
      <c r="AC34" s="617"/>
      <c r="AD34" s="1784">
        <f>'Cashflow Governmental'!AE38</f>
        <v>11.6</v>
      </c>
      <c r="AE34" s="1797"/>
      <c r="AF34" s="3523"/>
      <c r="AG34" s="2828"/>
      <c r="AH34" s="1783">
        <f t="shared" si="4"/>
        <v>3</v>
      </c>
      <c r="AI34" s="2851"/>
      <c r="AJ34" s="1503">
        <f>ROUND(AH34/AD34,3)</f>
        <v>0.25900000000000001</v>
      </c>
      <c r="AK34" s="1503"/>
      <c r="AL34" s="2797"/>
    </row>
    <row r="35" spans="1:38" ht="18" customHeight="1">
      <c r="A35" s="2815" t="s">
        <v>1355</v>
      </c>
      <c r="B35" s="2815"/>
      <c r="C35" s="2815"/>
      <c r="D35" s="617">
        <f>'Exhibit F'!D34</f>
        <v>0</v>
      </c>
      <c r="E35" s="1784"/>
      <c r="F35" s="617">
        <f>'Exhibit F'!AC34</f>
        <v>0</v>
      </c>
      <c r="G35" s="617"/>
      <c r="H35" s="617">
        <f>'Exhibit G'!D27</f>
        <v>0.2</v>
      </c>
      <c r="I35" s="1784"/>
      <c r="J35" s="617">
        <f>'Exhibit G'!AD27</f>
        <v>0.2</v>
      </c>
      <c r="K35" s="617"/>
      <c r="L35" s="1782">
        <v>0</v>
      </c>
      <c r="M35" s="1784"/>
      <c r="N35" s="1783">
        <v>0</v>
      </c>
      <c r="O35" s="617"/>
      <c r="P35" s="617">
        <v>0</v>
      </c>
      <c r="Q35" s="1784"/>
      <c r="R35" s="617">
        <v>0</v>
      </c>
      <c r="S35" s="617"/>
      <c r="T35" s="2827"/>
      <c r="U35" s="2827"/>
      <c r="V35" s="1784">
        <f>SUM(D35)+SUM(H35)+SUM(L35)+SUM(P35)</f>
        <v>0.2</v>
      </c>
      <c r="W35" s="1413"/>
      <c r="X35" s="1784">
        <f>SUM(F35)+SUM(J35)+SUM(N35)+SUM(R35)</f>
        <v>0.2</v>
      </c>
      <c r="Y35" s="2828"/>
      <c r="Z35" s="2829"/>
      <c r="AA35" s="1413"/>
      <c r="AB35" s="1781">
        <v>0</v>
      </c>
      <c r="AC35" s="617"/>
      <c r="AD35" s="1784">
        <f>'Cashflow Governmental'!AE39</f>
        <v>0</v>
      </c>
      <c r="AE35" s="1797"/>
      <c r="AF35" s="3523"/>
      <c r="AG35" s="2828"/>
      <c r="AH35" s="1783">
        <f>ROUND(SUM(X35)-SUM(AD35),1)</f>
        <v>0.2</v>
      </c>
      <c r="AI35" s="2851"/>
      <c r="AJ35" s="1431">
        <f>ROUND(IF(AD35=0,1,AH35/(AD35)),3)</f>
        <v>1</v>
      </c>
      <c r="AK35" s="1503"/>
      <c r="AL35" s="2797"/>
    </row>
    <row r="36" spans="1:38" ht="18" customHeight="1">
      <c r="A36" s="2815" t="s">
        <v>1356</v>
      </c>
      <c r="B36" s="2815"/>
      <c r="C36" s="2815"/>
      <c r="D36" s="617">
        <f>'Exhibit F'!D35</f>
        <v>6.7</v>
      </c>
      <c r="E36" s="1784"/>
      <c r="F36" s="617">
        <f>'Exhibit F'!AC35</f>
        <v>6.7</v>
      </c>
      <c r="G36" s="617"/>
      <c r="H36" s="617">
        <v>0</v>
      </c>
      <c r="I36" s="1784"/>
      <c r="J36" s="617">
        <v>0</v>
      </c>
      <c r="K36" s="617"/>
      <c r="L36" s="1782">
        <v>0</v>
      </c>
      <c r="M36" s="1784"/>
      <c r="N36" s="1783">
        <v>0</v>
      </c>
      <c r="O36" s="617"/>
      <c r="P36" s="617">
        <v>0</v>
      </c>
      <c r="Q36" s="1784"/>
      <c r="R36" s="617">
        <v>0</v>
      </c>
      <c r="S36" s="617"/>
      <c r="T36" s="2827"/>
      <c r="U36" s="2827"/>
      <c r="V36" s="1784">
        <f>SUM(D36)+SUM(H36)+SUM(L36)+SUM(P36)</f>
        <v>6.7</v>
      </c>
      <c r="W36" s="1413"/>
      <c r="X36" s="1784">
        <f t="shared" ref="X36" si="6">SUM(F36)+SUM(J36)+SUM(N36)+SUM(R36)</f>
        <v>6.7</v>
      </c>
      <c r="Y36" s="2828"/>
      <c r="Z36" s="2829"/>
      <c r="AA36" s="1413"/>
      <c r="AB36" s="1781">
        <v>7.2</v>
      </c>
      <c r="AC36" s="617"/>
      <c r="AD36" s="1784">
        <f>'Cashflow Governmental'!AE40</f>
        <v>7.2</v>
      </c>
      <c r="AE36" s="1797"/>
      <c r="AF36" s="3523"/>
      <c r="AG36" s="2828"/>
      <c r="AH36" s="1783">
        <f t="shared" ref="AH36" si="7">ROUND(SUM(X36)-SUM(AD36),1)</f>
        <v>-0.5</v>
      </c>
      <c r="AI36" s="2851"/>
      <c r="AJ36" s="1431">
        <f>ROUND(IF(AD36=0,1,AH36/(AD36)),3)</f>
        <v>-6.9000000000000006E-2</v>
      </c>
      <c r="AK36" s="1503"/>
      <c r="AL36" s="2797"/>
    </row>
    <row r="37" spans="1:38" ht="18" customHeight="1">
      <c r="A37" s="2814" t="s">
        <v>832</v>
      </c>
      <c r="B37" s="2815"/>
      <c r="C37" s="2815"/>
      <c r="D37" s="1504">
        <f>ROUND(SUM(D28:D36),1)</f>
        <v>351.1</v>
      </c>
      <c r="E37" s="2275"/>
      <c r="F37" s="1794">
        <f>ROUND(SUM(F28:F36),1)</f>
        <v>351.1</v>
      </c>
      <c r="G37" s="23"/>
      <c r="H37" s="1794">
        <f>ROUND(SUM(H28:H36),1)</f>
        <v>187.7</v>
      </c>
      <c r="I37" s="1471"/>
      <c r="J37" s="1794">
        <f>ROUND(SUM(J28:J36),1)</f>
        <v>187.7</v>
      </c>
      <c r="K37" s="23"/>
      <c r="L37" s="1794">
        <f>ROUND(SUM(L28:L36),1)</f>
        <v>895.4</v>
      </c>
      <c r="M37" s="1471"/>
      <c r="N37" s="1794">
        <f>ROUND(SUM(N28:N36),1)</f>
        <v>895.4</v>
      </c>
      <c r="O37" s="23"/>
      <c r="P37" s="1794">
        <f>ROUND(SUM(P28:P36),1)</f>
        <v>43.5</v>
      </c>
      <c r="Q37" s="1471"/>
      <c r="R37" s="1794">
        <f>ROUND(SUM(R28:R36),1)</f>
        <v>43.5</v>
      </c>
      <c r="S37" s="23"/>
      <c r="T37" s="2833"/>
      <c r="U37" s="2833"/>
      <c r="V37" s="1794">
        <f>ROUND(SUM(V28:V36),1)</f>
        <v>1477.7</v>
      </c>
      <c r="W37" s="1471"/>
      <c r="X37" s="1794">
        <f>ROUND(SUM(X28:X36),1)</f>
        <v>1477.7</v>
      </c>
      <c r="Y37" s="3768"/>
      <c r="Z37" s="2305"/>
      <c r="AA37" s="1471"/>
      <c r="AB37" s="1794">
        <f>ROUND(SUM(AB28:AB36),1)</f>
        <v>1045</v>
      </c>
      <c r="AC37" s="23"/>
      <c r="AD37" s="1794">
        <f>ROUND(SUM(AD28:AD36),1)</f>
        <v>1045</v>
      </c>
      <c r="AE37" s="1471"/>
      <c r="AF37" s="3524"/>
      <c r="AG37" s="1471"/>
      <c r="AH37" s="1826">
        <f t="shared" si="4"/>
        <v>432.7</v>
      </c>
      <c r="AI37" s="2245"/>
      <c r="AJ37" s="1505">
        <f t="shared" si="5"/>
        <v>0.41399999999999998</v>
      </c>
      <c r="AK37" s="2852"/>
      <c r="AL37" s="2853"/>
    </row>
    <row r="38" spans="1:38" ht="18" customHeight="1">
      <c r="A38" s="2815"/>
      <c r="B38" s="2815"/>
      <c r="C38" s="2815"/>
      <c r="D38" s="1506"/>
      <c r="E38" s="613"/>
      <c r="F38" s="1795"/>
      <c r="G38" s="617"/>
      <c r="H38" s="1795"/>
      <c r="I38" s="1413"/>
      <c r="J38" s="1795"/>
      <c r="K38" s="617"/>
      <c r="L38" s="1795"/>
      <c r="M38" s="1413"/>
      <c r="N38" s="1795"/>
      <c r="O38" s="617"/>
      <c r="P38" s="1795"/>
      <c r="Q38" s="1413"/>
      <c r="R38" s="1795"/>
      <c r="S38" s="617"/>
      <c r="T38" s="2827"/>
      <c r="U38" s="2827"/>
      <c r="V38" s="1795"/>
      <c r="W38" s="1413"/>
      <c r="X38" s="1795"/>
      <c r="Y38" s="1413"/>
      <c r="Z38" s="2829"/>
      <c r="AA38" s="1413"/>
      <c r="AB38" s="1795"/>
      <c r="AC38" s="617"/>
      <c r="AD38" s="1795"/>
      <c r="AE38" s="1413"/>
      <c r="AF38" s="3523"/>
      <c r="AG38" s="1413"/>
      <c r="AH38" s="1413"/>
      <c r="AI38" s="610"/>
      <c r="AJ38" s="2844"/>
      <c r="AK38" s="2845"/>
      <c r="AL38" s="2797"/>
    </row>
    <row r="39" spans="1:38" ht="18" customHeight="1">
      <c r="A39" s="2814" t="s">
        <v>1088</v>
      </c>
      <c r="B39" s="2815"/>
      <c r="C39" s="2815"/>
      <c r="D39" s="612"/>
      <c r="E39" s="612"/>
      <c r="F39" s="617"/>
      <c r="G39" s="617"/>
      <c r="H39" s="617"/>
      <c r="I39" s="617"/>
      <c r="J39" s="617"/>
      <c r="K39" s="617"/>
      <c r="L39" s="617"/>
      <c r="M39" s="617"/>
      <c r="N39" s="617"/>
      <c r="O39" s="617"/>
      <c r="P39" s="617"/>
      <c r="Q39" s="617"/>
      <c r="R39" s="617"/>
      <c r="S39" s="617"/>
      <c r="T39" s="2827"/>
      <c r="U39" s="2827"/>
      <c r="V39" s="1413"/>
      <c r="W39" s="1413"/>
      <c r="X39" s="617"/>
      <c r="Y39" s="617"/>
      <c r="Z39" s="2829"/>
      <c r="AA39" s="1413"/>
      <c r="AB39" s="3478"/>
      <c r="AC39" s="617"/>
      <c r="AD39" s="3478"/>
      <c r="AE39" s="617"/>
      <c r="AF39" s="3523"/>
      <c r="AG39" s="617"/>
      <c r="AH39" s="617"/>
      <c r="AI39" s="2251"/>
      <c r="AJ39" s="1503"/>
      <c r="AK39" s="2845"/>
      <c r="AL39" s="2797"/>
    </row>
    <row r="40" spans="1:38" ht="18" customHeight="1">
      <c r="A40" s="2815" t="s">
        <v>833</v>
      </c>
      <c r="B40" s="2815"/>
      <c r="C40" s="2815"/>
      <c r="D40" s="617">
        <f>'Exhibit F'!D38</f>
        <v>613.79999999999995</v>
      </c>
      <c r="E40" s="617"/>
      <c r="F40" s="617">
        <f>'Exhibit F'!AC38</f>
        <v>613.79999999999995</v>
      </c>
      <c r="G40" s="617"/>
      <c r="H40" s="617">
        <f>'Exhibit G'!D30</f>
        <v>154.6</v>
      </c>
      <c r="I40" s="617"/>
      <c r="J40" s="617">
        <f>'Exhibit G'!AD30</f>
        <v>154.6</v>
      </c>
      <c r="K40" s="617"/>
      <c r="L40" s="1782">
        <v>0</v>
      </c>
      <c r="M40" s="1784"/>
      <c r="N40" s="1783">
        <v>0</v>
      </c>
      <c r="O40" s="617"/>
      <c r="P40" s="1782">
        <f>'Exhibit I'!E25</f>
        <v>0</v>
      </c>
      <c r="Q40" s="1784"/>
      <c r="R40" s="1782">
        <f>'Exhibit I'!AF25</f>
        <v>0</v>
      </c>
      <c r="S40" s="617"/>
      <c r="T40" s="2827"/>
      <c r="U40" s="2827"/>
      <c r="V40" s="1784">
        <f>SUM(D40)+SUM(H40)+SUM(L40)+SUM(P40)</f>
        <v>768.4</v>
      </c>
      <c r="W40" s="1413"/>
      <c r="X40" s="1784">
        <f>SUM(F40)+SUM(J40)+SUM(N40)+SUM(R40)</f>
        <v>768.4</v>
      </c>
      <c r="Y40" s="617"/>
      <c r="Z40" s="2829"/>
      <c r="AA40" s="1413"/>
      <c r="AB40" s="1781">
        <v>254.4</v>
      </c>
      <c r="AC40" s="617"/>
      <c r="AD40" s="1797">
        <f>'Cashflow Governmental'!AE43</f>
        <v>254.4</v>
      </c>
      <c r="AE40" s="1784"/>
      <c r="AF40" s="3523"/>
      <c r="AG40" s="617"/>
      <c r="AH40" s="1784">
        <f t="shared" ref="AH40:AH45" si="8">ROUND(SUM(X40)-SUM(AD40),1)</f>
        <v>514</v>
      </c>
      <c r="AI40" s="2850"/>
      <c r="AJ40" s="1503">
        <f t="shared" ref="AJ40:AJ45" si="9">ROUND(AH40/AD40,3)</f>
        <v>2.02</v>
      </c>
      <c r="AK40" s="1503"/>
      <c r="AL40" s="2797"/>
    </row>
    <row r="41" spans="1:38" ht="18" customHeight="1">
      <c r="A41" s="2815" t="s">
        <v>834</v>
      </c>
      <c r="B41" s="2815"/>
      <c r="C41" s="2815"/>
      <c r="D41" s="617">
        <f>'Exhibit F'!D39</f>
        <v>28.6</v>
      </c>
      <c r="E41" s="617"/>
      <c r="F41" s="617">
        <f>'Exhibit F'!AC39</f>
        <v>28.6</v>
      </c>
      <c r="G41" s="617"/>
      <c r="H41" s="617">
        <f>'Exhibit G'!D31</f>
        <v>19.3</v>
      </c>
      <c r="I41" s="617"/>
      <c r="J41" s="1798">
        <f>'Exhibit G'!AD31</f>
        <v>19.3</v>
      </c>
      <c r="K41" s="617"/>
      <c r="L41" s="1782">
        <v>0</v>
      </c>
      <c r="M41" s="1784"/>
      <c r="N41" s="1783">
        <v>0</v>
      </c>
      <c r="O41" s="617"/>
      <c r="P41" s="617">
        <f>'Exhibit I'!E26</f>
        <v>3.1</v>
      </c>
      <c r="Q41" s="1784"/>
      <c r="R41" s="617">
        <f>'Exhibit I'!AF26</f>
        <v>3.1</v>
      </c>
      <c r="S41" s="617"/>
      <c r="T41" s="2827"/>
      <c r="U41" s="2827"/>
      <c r="V41" s="1784">
        <f>SUM(D41)+SUM(H41)+SUM(L41)+SUM(P41)</f>
        <v>51.000000000000007</v>
      </c>
      <c r="W41" s="1413"/>
      <c r="X41" s="1784">
        <f>SUM(F41)+SUM(J41)+SUM(N41)+SUM(R41)</f>
        <v>51.000000000000007</v>
      </c>
      <c r="Y41" s="617"/>
      <c r="Z41" s="2829"/>
      <c r="AA41" s="1413"/>
      <c r="AB41" s="1781">
        <v>15.6</v>
      </c>
      <c r="AC41" s="617"/>
      <c r="AD41" s="1797">
        <f>'Cashflow Governmental'!AE44</f>
        <v>15.6</v>
      </c>
      <c r="AE41" s="1784"/>
      <c r="AF41" s="3523"/>
      <c r="AG41" s="617"/>
      <c r="AH41" s="1784">
        <f t="shared" si="8"/>
        <v>35.4</v>
      </c>
      <c r="AI41" s="2850"/>
      <c r="AJ41" s="1503">
        <f t="shared" si="9"/>
        <v>2.2690000000000001</v>
      </c>
      <c r="AK41" s="1503"/>
      <c r="AL41" s="2797"/>
    </row>
    <row r="42" spans="1:38" ht="18" customHeight="1">
      <c r="A42" s="2815" t="s">
        <v>835</v>
      </c>
      <c r="B42" s="2815"/>
      <c r="C42" s="2815"/>
      <c r="D42" s="617">
        <f>'Exhibit F'!D40</f>
        <v>73</v>
      </c>
      <c r="E42" s="617"/>
      <c r="F42" s="617">
        <f>'Exhibit F'!AC40</f>
        <v>73</v>
      </c>
      <c r="G42" s="617"/>
      <c r="H42" s="617">
        <f>'Exhibit G'!D32</f>
        <v>-8.8000000000000007</v>
      </c>
      <c r="I42" s="617"/>
      <c r="J42" s="617">
        <f>'Exhibit G'!AD32</f>
        <v>-8.8000000000000007</v>
      </c>
      <c r="K42" s="617"/>
      <c r="L42" s="1782">
        <v>0</v>
      </c>
      <c r="M42" s="1784"/>
      <c r="N42" s="1783">
        <v>0</v>
      </c>
      <c r="O42" s="617"/>
      <c r="P42" s="1782">
        <v>0</v>
      </c>
      <c r="Q42" s="1784"/>
      <c r="R42" s="1782">
        <v>0</v>
      </c>
      <c r="S42" s="617"/>
      <c r="T42" s="2827"/>
      <c r="U42" s="2827"/>
      <c r="V42" s="1784">
        <f>SUM(D42)+SUM(H42)+SUM(L42)+SUM(P42)</f>
        <v>64.2</v>
      </c>
      <c r="W42" s="1413"/>
      <c r="X42" s="1784">
        <f>SUM(F42)+SUM(J42)+SUM(N42)+SUM(R42)</f>
        <v>64.2</v>
      </c>
      <c r="Y42" s="617"/>
      <c r="Z42" s="2829"/>
      <c r="AA42" s="1413"/>
      <c r="AB42" s="1781">
        <v>70.2</v>
      </c>
      <c r="AC42" s="617"/>
      <c r="AD42" s="1797">
        <f>'Cashflow Governmental'!AE45</f>
        <v>70.2</v>
      </c>
      <c r="AE42" s="1784"/>
      <c r="AF42" s="3523"/>
      <c r="AG42" s="617"/>
      <c r="AH42" s="1784">
        <f t="shared" si="8"/>
        <v>-6</v>
      </c>
      <c r="AI42" s="2850"/>
      <c r="AJ42" s="1503">
        <f>ROUND(AH42/AD42,3)</f>
        <v>-8.5000000000000006E-2</v>
      </c>
      <c r="AK42" s="1503"/>
      <c r="AL42" s="2797"/>
    </row>
    <row r="43" spans="1:38" ht="18" customHeight="1">
      <c r="A43" s="2815" t="s">
        <v>836</v>
      </c>
      <c r="B43" s="2815"/>
      <c r="C43" s="2815"/>
      <c r="D43" s="617">
        <f>'Exhibit F'!D41</f>
        <v>14.2</v>
      </c>
      <c r="E43" s="617"/>
      <c r="F43" s="617">
        <f>'Exhibit F'!AC41</f>
        <v>14.2</v>
      </c>
      <c r="G43" s="617"/>
      <c r="H43" s="617">
        <f>'Exhibit G'!D33</f>
        <v>3.1</v>
      </c>
      <c r="I43" s="617"/>
      <c r="J43" s="617">
        <f>'Exhibit G'!AD33</f>
        <v>3.1</v>
      </c>
      <c r="K43" s="617"/>
      <c r="L43" s="1782">
        <v>0</v>
      </c>
      <c r="M43" s="1784"/>
      <c r="N43" s="1783">
        <v>0</v>
      </c>
      <c r="O43" s="617"/>
      <c r="P43" s="1782">
        <v>0</v>
      </c>
      <c r="Q43" s="1784"/>
      <c r="R43" s="1782">
        <v>0</v>
      </c>
      <c r="S43" s="617"/>
      <c r="T43" s="2827"/>
      <c r="U43" s="2827"/>
      <c r="V43" s="1784">
        <f>SUM(D43)+SUM(H43)+SUM(L43)+SUM(P43)</f>
        <v>17.3</v>
      </c>
      <c r="W43" s="1413"/>
      <c r="X43" s="1784">
        <f>SUM(F43)+SUM(J43)+SUM(N43)+SUM(R43)</f>
        <v>17.3</v>
      </c>
      <c r="Y43" s="617"/>
      <c r="Z43" s="2829"/>
      <c r="AA43" s="1413"/>
      <c r="AB43" s="1781">
        <v>7.3999999999999995</v>
      </c>
      <c r="AC43" s="617"/>
      <c r="AD43" s="1797">
        <f>'Cashflow Governmental'!AE46</f>
        <v>7.3999999999999995</v>
      </c>
      <c r="AE43" s="1784"/>
      <c r="AF43" s="3523"/>
      <c r="AG43" s="617"/>
      <c r="AH43" s="1784">
        <f t="shared" si="8"/>
        <v>9.9</v>
      </c>
      <c r="AI43" s="2850"/>
      <c r="AJ43" s="3875">
        <f>ROUND(AH43/AD43,3)</f>
        <v>1.3380000000000001</v>
      </c>
      <c r="AK43" s="1503"/>
      <c r="AL43" s="2797"/>
    </row>
    <row r="44" spans="1:38" ht="18" customHeight="1">
      <c r="A44" s="2815" t="s">
        <v>837</v>
      </c>
      <c r="B44" s="2815"/>
      <c r="C44" s="2815"/>
      <c r="D44" s="617">
        <f>'Exhibit F'!D42</f>
        <v>0</v>
      </c>
      <c r="E44" s="1784"/>
      <c r="F44" s="617">
        <f>'Exhibit F'!AC42</f>
        <v>0</v>
      </c>
      <c r="G44" s="617"/>
      <c r="H44" s="617">
        <f>'Exhibit G'!D34</f>
        <v>30.7</v>
      </c>
      <c r="I44" s="1784"/>
      <c r="J44" s="617">
        <f>'Exhibit G'!AD34</f>
        <v>30.7</v>
      </c>
      <c r="K44" s="617"/>
      <c r="L44" s="1782">
        <v>0</v>
      </c>
      <c r="M44" s="1784"/>
      <c r="N44" s="1783">
        <v>0</v>
      </c>
      <c r="O44" s="617"/>
      <c r="P44" s="617">
        <f>'Exhibit I'!E27</f>
        <v>38.200000000000003</v>
      </c>
      <c r="Q44" s="1784"/>
      <c r="R44" s="617">
        <f>'Exhibit I'!AF27</f>
        <v>38.200000000000003</v>
      </c>
      <c r="S44" s="617"/>
      <c r="T44" s="2827"/>
      <c r="U44" s="2827"/>
      <c r="V44" s="1784">
        <f>SUM(D44)+SUM(H44)+SUM(L44)+SUM(P44)</f>
        <v>68.900000000000006</v>
      </c>
      <c r="W44" s="1413"/>
      <c r="X44" s="1784">
        <f>SUM(F44)+SUM(J44)+SUM(N44)+SUM(R44)</f>
        <v>68.900000000000006</v>
      </c>
      <c r="Y44" s="617"/>
      <c r="Z44" s="2829"/>
      <c r="AA44" s="1413"/>
      <c r="AB44" s="1781">
        <v>68.300000000000011</v>
      </c>
      <c r="AC44" s="617"/>
      <c r="AD44" s="1797">
        <f>'Cashflow Governmental'!AE47</f>
        <v>68.3</v>
      </c>
      <c r="AE44" s="1784"/>
      <c r="AF44" s="3523"/>
      <c r="AG44" s="617"/>
      <c r="AH44" s="1784">
        <f t="shared" si="8"/>
        <v>0.6</v>
      </c>
      <c r="AI44" s="2851"/>
      <c r="AJ44" s="1503">
        <f t="shared" si="9"/>
        <v>8.9999999999999993E-3</v>
      </c>
      <c r="AK44" s="1503"/>
      <c r="AL44" s="2797"/>
    </row>
    <row r="45" spans="1:38" ht="18" customHeight="1">
      <c r="A45" s="2814" t="s">
        <v>832</v>
      </c>
      <c r="B45" s="2815"/>
      <c r="C45" s="2815"/>
      <c r="D45" s="1504">
        <f>ROUND(SUM(D40:D44),1)</f>
        <v>729.6</v>
      </c>
      <c r="E45" s="2275"/>
      <c r="F45" s="1794">
        <f>ROUND(SUM(F40:F44),1)</f>
        <v>729.6</v>
      </c>
      <c r="G45" s="23"/>
      <c r="H45" s="1794">
        <f>ROUND(SUM(H40:H44),1)</f>
        <v>198.9</v>
      </c>
      <c r="I45" s="1471"/>
      <c r="J45" s="1794">
        <f>ROUND(SUM(J40:J44),1)</f>
        <v>198.9</v>
      </c>
      <c r="K45" s="23"/>
      <c r="L45" s="1796">
        <f>ROUND(SUM(L40:L44),1)</f>
        <v>0</v>
      </c>
      <c r="M45" s="2832"/>
      <c r="N45" s="1796">
        <f>ROUND(SUM(N40:N44),1)</f>
        <v>0</v>
      </c>
      <c r="O45" s="23"/>
      <c r="P45" s="1794">
        <f>ROUND(SUM(P40:P44),1)</f>
        <v>41.3</v>
      </c>
      <c r="Q45" s="1471"/>
      <c r="R45" s="1794">
        <f>ROUND(SUM(R40:R44),1)</f>
        <v>41.3</v>
      </c>
      <c r="S45" s="23"/>
      <c r="T45" s="2833"/>
      <c r="U45" s="2833"/>
      <c r="V45" s="1794">
        <f>ROUND(SUM(V40:V44),1)</f>
        <v>969.8</v>
      </c>
      <c r="W45" s="1471"/>
      <c r="X45" s="1794">
        <f>ROUND(SUM(X40:X44),1)</f>
        <v>969.8</v>
      </c>
      <c r="Y45" s="3768"/>
      <c r="Z45" s="2305"/>
      <c r="AA45" s="1471"/>
      <c r="AB45" s="1794">
        <f>ROUND(SUM(AB40:AB44),1)</f>
        <v>415.9</v>
      </c>
      <c r="AC45" s="23"/>
      <c r="AD45" s="1794">
        <f>ROUND(SUM(AD40:AD44),1)</f>
        <v>415.9</v>
      </c>
      <c r="AE45" s="1471"/>
      <c r="AF45" s="3524"/>
      <c r="AG45" s="1471"/>
      <c r="AH45" s="3368">
        <f t="shared" si="8"/>
        <v>553.9</v>
      </c>
      <c r="AI45" s="2245"/>
      <c r="AJ45" s="1505">
        <f t="shared" si="9"/>
        <v>1.3320000000000001</v>
      </c>
      <c r="AK45" s="2852"/>
      <c r="AL45" s="2853"/>
    </row>
    <row r="46" spans="1:38" ht="18" customHeight="1">
      <c r="A46" s="2815"/>
      <c r="B46" s="2815"/>
      <c r="C46" s="2815"/>
      <c r="D46" s="1506"/>
      <c r="E46" s="613"/>
      <c r="F46" s="1795"/>
      <c r="G46" s="617"/>
      <c r="H46" s="1795"/>
      <c r="I46" s="1413"/>
      <c r="J46" s="1795"/>
      <c r="K46" s="617"/>
      <c r="L46" s="1795"/>
      <c r="M46" s="1413"/>
      <c r="N46" s="1795"/>
      <c r="O46" s="617"/>
      <c r="P46" s="1795"/>
      <c r="Q46" s="1413"/>
      <c r="R46" s="1795"/>
      <c r="S46" s="617"/>
      <c r="T46" s="2827"/>
      <c r="U46" s="2827"/>
      <c r="V46" s="1795"/>
      <c r="W46" s="1413"/>
      <c r="X46" s="1795"/>
      <c r="Y46" s="1413"/>
      <c r="Z46" s="2829"/>
      <c r="AA46" s="1413"/>
      <c r="AB46" s="1795"/>
      <c r="AC46" s="617"/>
      <c r="AD46" s="1795"/>
      <c r="AE46" s="1413"/>
      <c r="AF46" s="3523"/>
      <c r="AG46" s="1413"/>
      <c r="AH46" s="1413"/>
      <c r="AI46" s="610"/>
      <c r="AJ46" s="2844"/>
      <c r="AK46" s="2845"/>
      <c r="AL46" s="2797"/>
    </row>
    <row r="47" spans="1:38" ht="18" customHeight="1">
      <c r="A47" s="2846" t="s">
        <v>1089</v>
      </c>
      <c r="B47" s="2815"/>
      <c r="C47" s="2815"/>
      <c r="D47" s="612"/>
      <c r="E47" s="612"/>
      <c r="F47" s="617"/>
      <c r="G47" s="617"/>
      <c r="H47" s="617" t="s">
        <v>14</v>
      </c>
      <c r="I47" s="617"/>
      <c r="J47" s="617"/>
      <c r="K47" s="617"/>
      <c r="L47" s="617"/>
      <c r="M47" s="617"/>
      <c r="N47" s="617"/>
      <c r="O47" s="617"/>
      <c r="P47" s="617"/>
      <c r="Q47" s="617"/>
      <c r="R47" s="617"/>
      <c r="S47" s="617"/>
      <c r="T47" s="2827"/>
      <c r="U47" s="2827"/>
      <c r="V47" s="1413"/>
      <c r="W47" s="1413"/>
      <c r="X47" s="617"/>
      <c r="Y47" s="617"/>
      <c r="Z47" s="2829"/>
      <c r="AA47" s="1413"/>
      <c r="AB47" s="1413"/>
      <c r="AC47" s="617"/>
      <c r="AD47" s="617"/>
      <c r="AE47" s="617"/>
      <c r="AF47" s="3523"/>
      <c r="AG47" s="617"/>
      <c r="AH47" s="617"/>
      <c r="AI47" s="2251"/>
      <c r="AJ47" s="1503"/>
      <c r="AK47" s="2845"/>
      <c r="AL47" s="2797"/>
    </row>
    <row r="48" spans="1:38" ht="18" customHeight="1">
      <c r="A48" s="2815" t="s">
        <v>838</v>
      </c>
      <c r="B48" s="2815"/>
      <c r="C48" s="2815"/>
      <c r="D48" s="1782">
        <f>'Exhibit F'!D45</f>
        <v>0</v>
      </c>
      <c r="E48" s="617"/>
      <c r="F48" s="617">
        <f>'Exhibit F'!AC45</f>
        <v>0</v>
      </c>
      <c r="G48" s="617"/>
      <c r="H48" s="1782">
        <v>0</v>
      </c>
      <c r="I48" s="1784"/>
      <c r="J48" s="1783">
        <v>0</v>
      </c>
      <c r="K48" s="617"/>
      <c r="L48" s="1783">
        <v>0</v>
      </c>
      <c r="M48" s="1783"/>
      <c r="N48" s="1783">
        <v>0</v>
      </c>
      <c r="O48" s="617"/>
      <c r="P48" s="1782">
        <v>0</v>
      </c>
      <c r="Q48" s="1784"/>
      <c r="R48" s="1783">
        <v>0</v>
      </c>
      <c r="S48" s="617"/>
      <c r="T48" s="2827"/>
      <c r="U48" s="2827"/>
      <c r="V48" s="1783">
        <f t="shared" ref="V48:V52" si="10">SUM(D48)+SUM(H48)+SUM(L48)+SUM(P48)</f>
        <v>0</v>
      </c>
      <c r="W48" s="1413"/>
      <c r="X48" s="1784">
        <f t="shared" ref="X48:X52" si="11">SUM(F48)+SUM(J48)+SUM(N48)+SUM(R48)</f>
        <v>0</v>
      </c>
      <c r="Y48" s="2828"/>
      <c r="Z48" s="2829"/>
      <c r="AA48" s="1413"/>
      <c r="AB48" s="1781">
        <v>0</v>
      </c>
      <c r="AC48" s="617"/>
      <c r="AD48" s="1797">
        <f>'Cashflow Governmental'!AE50</f>
        <v>0</v>
      </c>
      <c r="AE48" s="1784"/>
      <c r="AF48" s="3523"/>
      <c r="AG48" s="2828"/>
      <c r="AH48" s="1784">
        <f t="shared" ref="AH48:AH54" si="12">ROUND(SUM(X48)-SUM(AD48),1)</f>
        <v>0</v>
      </c>
      <c r="AI48" s="2850"/>
      <c r="AJ48" s="1431">
        <f>ROUND(IF(AD48=0,0,-AH48/(AD48)),3)</f>
        <v>0</v>
      </c>
      <c r="AK48" s="1503"/>
      <c r="AL48" s="2797"/>
    </row>
    <row r="49" spans="1:38" ht="18" customHeight="1">
      <c r="A49" s="2815" t="s">
        <v>839</v>
      </c>
      <c r="B49" s="2815"/>
      <c r="C49" s="2815"/>
      <c r="D49" s="1782">
        <f>'Exhibit F'!D46</f>
        <v>119.8</v>
      </c>
      <c r="E49" s="617"/>
      <c r="F49" s="617">
        <f>'Exhibit F'!AC46</f>
        <v>119.8</v>
      </c>
      <c r="G49" s="617"/>
      <c r="H49" s="1782">
        <v>0</v>
      </c>
      <c r="I49" s="1784"/>
      <c r="J49" s="1783">
        <v>0</v>
      </c>
      <c r="K49" s="617"/>
      <c r="L49" s="1783">
        <v>0</v>
      </c>
      <c r="M49" s="1783"/>
      <c r="N49" s="1783">
        <v>0</v>
      </c>
      <c r="O49" s="617"/>
      <c r="P49" s="1782">
        <v>0</v>
      </c>
      <c r="Q49" s="1784"/>
      <c r="R49" s="1783">
        <v>0</v>
      </c>
      <c r="S49" s="617"/>
      <c r="T49" s="2827"/>
      <c r="U49" s="2827"/>
      <c r="V49" s="1784">
        <f t="shared" si="10"/>
        <v>119.8</v>
      </c>
      <c r="W49" s="1413"/>
      <c r="X49" s="1784">
        <f t="shared" si="11"/>
        <v>119.8</v>
      </c>
      <c r="Y49" s="2828"/>
      <c r="Z49" s="2829"/>
      <c r="AA49" s="1413"/>
      <c r="AB49" s="1781">
        <v>72.7</v>
      </c>
      <c r="AC49" s="617"/>
      <c r="AD49" s="1797">
        <f>'Cashflow Governmental'!AE51</f>
        <v>72.7</v>
      </c>
      <c r="AE49" s="1797"/>
      <c r="AF49" s="3523"/>
      <c r="AG49" s="2828"/>
      <c r="AH49" s="1784">
        <f t="shared" si="12"/>
        <v>47.1</v>
      </c>
      <c r="AI49" s="2850"/>
      <c r="AJ49" s="1503">
        <f>ROUND(AH49/AD49,3)</f>
        <v>0.64800000000000002</v>
      </c>
      <c r="AK49" s="1503"/>
      <c r="AL49" s="2797"/>
    </row>
    <row r="50" spans="1:38" ht="18" customHeight="1">
      <c r="A50" s="2815" t="s">
        <v>840</v>
      </c>
      <c r="B50" s="2815"/>
      <c r="C50" s="2815"/>
      <c r="D50" s="1782">
        <f>'Exhibit F'!D47</f>
        <v>1.3</v>
      </c>
      <c r="E50" s="617"/>
      <c r="F50" s="617">
        <f>'Exhibit F'!AC47</f>
        <v>1.3</v>
      </c>
      <c r="G50" s="617"/>
      <c r="H50" s="1782">
        <v>0</v>
      </c>
      <c r="I50" s="1784"/>
      <c r="J50" s="1783">
        <v>0</v>
      </c>
      <c r="K50" s="617"/>
      <c r="L50" s="1783">
        <v>0</v>
      </c>
      <c r="M50" s="1783"/>
      <c r="N50" s="1783">
        <v>0</v>
      </c>
      <c r="O50" s="617"/>
      <c r="P50" s="1782">
        <v>0</v>
      </c>
      <c r="Q50" s="1784"/>
      <c r="R50" s="1783">
        <v>0</v>
      </c>
      <c r="S50" s="617"/>
      <c r="T50" s="2827"/>
      <c r="U50" s="2827"/>
      <c r="V50" s="1784">
        <f t="shared" si="10"/>
        <v>1.3</v>
      </c>
      <c r="W50" s="1413"/>
      <c r="X50" s="1784">
        <f t="shared" si="11"/>
        <v>1.3</v>
      </c>
      <c r="Y50" s="2828"/>
      <c r="Z50" s="2829"/>
      <c r="AA50" s="1413"/>
      <c r="AB50" s="1781">
        <v>0.7</v>
      </c>
      <c r="AC50" s="617"/>
      <c r="AD50" s="1797">
        <f>'Cashflow Governmental'!AE52</f>
        <v>0.7</v>
      </c>
      <c r="AE50" s="1797"/>
      <c r="AF50" s="3523"/>
      <c r="AG50" s="2828"/>
      <c r="AH50" s="1784">
        <f t="shared" si="12"/>
        <v>0.6</v>
      </c>
      <c r="AI50" s="2850"/>
      <c r="AJ50" s="1503">
        <f>ROUND(AH50/AD50,3)</f>
        <v>0.85699999999999998</v>
      </c>
      <c r="AK50" s="1503"/>
      <c r="AL50" s="2797"/>
    </row>
    <row r="51" spans="1:38" ht="18" customHeight="1">
      <c r="A51" s="2815" t="s">
        <v>841</v>
      </c>
      <c r="B51" s="2815"/>
      <c r="C51" s="2815"/>
      <c r="D51" s="1782">
        <f>'Exhibit F'!D48</f>
        <v>0</v>
      </c>
      <c r="E51" s="1784"/>
      <c r="F51" s="617">
        <f>'Exhibit F'!AC48</f>
        <v>0</v>
      </c>
      <c r="G51" s="617"/>
      <c r="H51" s="1782">
        <v>0</v>
      </c>
      <c r="I51" s="1784"/>
      <c r="J51" s="1783">
        <v>0</v>
      </c>
      <c r="K51" s="617"/>
      <c r="L51" s="1784">
        <f>'Exhibit H'!B22</f>
        <v>97.4</v>
      </c>
      <c r="M51" s="1784"/>
      <c r="N51" s="1784">
        <f>'Exhibit H'!AA22</f>
        <v>97.4</v>
      </c>
      <c r="O51" s="617"/>
      <c r="P51" s="1781">
        <f>'Exhibit I'!E30</f>
        <v>0</v>
      </c>
      <c r="Q51" s="1784"/>
      <c r="R51" s="1797">
        <f>'Exhibit I'!AF30</f>
        <v>0</v>
      </c>
      <c r="S51" s="617"/>
      <c r="T51" s="2827"/>
      <c r="U51" s="2827"/>
      <c r="V51" s="1784">
        <f t="shared" si="10"/>
        <v>97.4</v>
      </c>
      <c r="W51" s="1413"/>
      <c r="X51" s="1784">
        <f t="shared" si="11"/>
        <v>97.4</v>
      </c>
      <c r="Y51" s="2828"/>
      <c r="Z51" s="2829"/>
      <c r="AA51" s="1413"/>
      <c r="AB51" s="1781">
        <v>57.2</v>
      </c>
      <c r="AC51" s="617"/>
      <c r="AD51" s="1797">
        <f>'Cashflow Governmental'!AE53</f>
        <v>57.2</v>
      </c>
      <c r="AE51" s="1784"/>
      <c r="AF51" s="3523"/>
      <c r="AG51" s="2828"/>
      <c r="AH51" s="1784">
        <f t="shared" si="12"/>
        <v>40.200000000000003</v>
      </c>
      <c r="AI51" s="2854"/>
      <c r="AJ51" s="1503">
        <f>ROUND(AH51/AD51,3)</f>
        <v>0.70299999999999996</v>
      </c>
      <c r="AK51" s="1503"/>
      <c r="AL51" s="2797"/>
    </row>
    <row r="52" spans="1:38" ht="18" customHeight="1">
      <c r="A52" s="2815" t="s">
        <v>842</v>
      </c>
      <c r="B52" s="2815"/>
      <c r="C52" s="2815"/>
      <c r="D52" s="1782">
        <f>'Exhibit F'!D49</f>
        <v>0</v>
      </c>
      <c r="E52" s="1413"/>
      <c r="F52" s="617">
        <f>'Exhibit F'!AC49</f>
        <v>0</v>
      </c>
      <c r="G52" s="617"/>
      <c r="H52" s="1782">
        <v>0</v>
      </c>
      <c r="I52" s="1784"/>
      <c r="J52" s="1783">
        <v>0</v>
      </c>
      <c r="K52" s="617"/>
      <c r="L52" s="1783">
        <v>0</v>
      </c>
      <c r="M52" s="1783"/>
      <c r="N52" s="1783">
        <v>0</v>
      </c>
      <c r="O52" s="617"/>
      <c r="P52" s="1782">
        <v>0</v>
      </c>
      <c r="Q52" s="1784"/>
      <c r="R52" s="1783">
        <v>0</v>
      </c>
      <c r="S52" s="617"/>
      <c r="T52" s="2827"/>
      <c r="U52" s="2827"/>
      <c r="V52" s="1784">
        <f t="shared" si="10"/>
        <v>0</v>
      </c>
      <c r="W52" s="1413"/>
      <c r="X52" s="1784">
        <f t="shared" si="11"/>
        <v>0</v>
      </c>
      <c r="Y52" s="2828"/>
      <c r="Z52" s="2829"/>
      <c r="AA52" s="1413"/>
      <c r="AB52" s="1781">
        <v>0.1</v>
      </c>
      <c r="AC52" s="617"/>
      <c r="AD52" s="1797">
        <f>'Cashflow Governmental'!AE54</f>
        <v>0.1</v>
      </c>
      <c r="AE52" s="1784"/>
      <c r="AF52" s="3523"/>
      <c r="AG52" s="2828"/>
      <c r="AH52" s="1784">
        <f t="shared" si="12"/>
        <v>-0.1</v>
      </c>
      <c r="AI52" s="2854"/>
      <c r="AJ52" s="1431">
        <f>ROUND(IF(AD52=0,0,AH52/(AD52)),3)</f>
        <v>-1</v>
      </c>
      <c r="AK52" s="1503"/>
      <c r="AL52" s="2797"/>
    </row>
    <row r="53" spans="1:38" ht="18" customHeight="1">
      <c r="A53" s="2758" t="s">
        <v>1288</v>
      </c>
      <c r="B53" s="2816"/>
      <c r="C53" s="2816"/>
      <c r="D53" s="1782">
        <f>'Exhibit F'!D50</f>
        <v>0.1</v>
      </c>
      <c r="E53" s="1413"/>
      <c r="F53" s="617">
        <f>'Exhibit F'!AC50</f>
        <v>0.1</v>
      </c>
      <c r="G53" s="617"/>
      <c r="H53" s="617">
        <v>0</v>
      </c>
      <c r="I53" s="1784"/>
      <c r="J53" s="1784">
        <v>0</v>
      </c>
      <c r="K53" s="617"/>
      <c r="L53" s="1782">
        <f>'Exhibit H'!B23</f>
        <v>0.1</v>
      </c>
      <c r="M53" s="1784"/>
      <c r="N53" s="1783">
        <f>'Exhibit H'!AA23</f>
        <v>0.1</v>
      </c>
      <c r="O53" s="617"/>
      <c r="P53" s="1782">
        <v>0</v>
      </c>
      <c r="Q53" s="1784"/>
      <c r="R53" s="1783">
        <v>0</v>
      </c>
      <c r="S53" s="617"/>
      <c r="T53" s="2827"/>
      <c r="U53" s="2827"/>
      <c r="V53" s="1784">
        <f t="shared" ref="V53" si="13">SUM(D53)+SUM(H53)+SUM(L53)+SUM(P53)</f>
        <v>0.2</v>
      </c>
      <c r="W53" s="1413"/>
      <c r="X53" s="1784">
        <f t="shared" ref="X53" si="14">SUM(F53)+SUM(J53)+SUM(N53)+SUM(R53)</f>
        <v>0.2</v>
      </c>
      <c r="Y53" s="2828"/>
      <c r="Z53" s="2829"/>
      <c r="AA53" s="1413"/>
      <c r="AB53" s="1781">
        <v>0.2</v>
      </c>
      <c r="AC53" s="617"/>
      <c r="AD53" s="1797">
        <f>'Cashflow Governmental'!AE55</f>
        <v>0.2</v>
      </c>
      <c r="AE53" s="1784"/>
      <c r="AF53" s="3523"/>
      <c r="AG53" s="2828"/>
      <c r="AH53" s="1783">
        <f t="shared" ref="AH53" si="15">ROUND(SUM(X53)-SUM(AD53),1)</f>
        <v>0</v>
      </c>
      <c r="AI53" s="2854"/>
      <c r="AJ53" s="1431">
        <f>ROUND(IF(AD53=0,1,AH53/(AD53)),3)</f>
        <v>0</v>
      </c>
      <c r="AK53" s="1503"/>
      <c r="AL53" s="2797"/>
    </row>
    <row r="54" spans="1:38" ht="18" customHeight="1">
      <c r="A54" s="2814" t="s">
        <v>832</v>
      </c>
      <c r="B54" s="2815"/>
      <c r="C54" s="2815"/>
      <c r="D54" s="1504">
        <f>ROUND(SUM(D48:D53),1)</f>
        <v>121.2</v>
      </c>
      <c r="E54" s="2275"/>
      <c r="F54" s="1794">
        <f>ROUND(SUM(F48:F53),1)</f>
        <v>121.2</v>
      </c>
      <c r="G54" s="23"/>
      <c r="H54" s="2834">
        <f>ROUND(SUM(H48:H53),1)</f>
        <v>0</v>
      </c>
      <c r="I54" s="2832"/>
      <c r="J54" s="2834">
        <f>ROUND(SUM(J48:J53),1)</f>
        <v>0</v>
      </c>
      <c r="K54" s="23"/>
      <c r="L54" s="1794">
        <f>ROUND(SUM(L48:L53),1)</f>
        <v>97.5</v>
      </c>
      <c r="M54" s="1471"/>
      <c r="N54" s="1794">
        <f>ROUND(SUM(N48:N53),1)</f>
        <v>97.5</v>
      </c>
      <c r="O54" s="23" t="s">
        <v>14</v>
      </c>
      <c r="P54" s="1794">
        <f>ROUND(SUM(P48:P53),1)</f>
        <v>0</v>
      </c>
      <c r="Q54" s="1471"/>
      <c r="R54" s="1794">
        <f>ROUND(SUM(R48:R53),1)</f>
        <v>0</v>
      </c>
      <c r="S54" s="23"/>
      <c r="T54" s="2833"/>
      <c r="U54" s="2833"/>
      <c r="V54" s="2834">
        <f>ROUND(SUM(V48:V53),1)</f>
        <v>218.7</v>
      </c>
      <c r="W54" s="1471"/>
      <c r="X54" s="2834">
        <f>ROUND(SUM(X48:X53),1)</f>
        <v>218.7</v>
      </c>
      <c r="Y54" s="2843"/>
      <c r="Z54" s="2305"/>
      <c r="AA54" s="1471"/>
      <c r="AB54" s="2834">
        <f>ROUND(SUM(AB48:AB53),1)</f>
        <v>130.9</v>
      </c>
      <c r="AC54" s="23"/>
      <c r="AD54" s="2834">
        <f>ROUND(SUM(AD48:AD53),1)</f>
        <v>130.9</v>
      </c>
      <c r="AE54" s="2832"/>
      <c r="AF54" s="3524"/>
      <c r="AG54" s="2835"/>
      <c r="AH54" s="1826">
        <f t="shared" si="12"/>
        <v>87.8</v>
      </c>
      <c r="AI54" s="2245"/>
      <c r="AJ54" s="1505">
        <f>ROUND(AH54/AD54,3)</f>
        <v>0.67100000000000004</v>
      </c>
      <c r="AK54" s="2852"/>
      <c r="AL54" s="2853"/>
    </row>
    <row r="55" spans="1:38" ht="18" customHeight="1">
      <c r="A55" s="2815"/>
      <c r="B55" s="2815"/>
      <c r="C55" s="2815"/>
      <c r="D55" s="1507"/>
      <c r="E55" s="2245"/>
      <c r="F55" s="3479"/>
      <c r="G55" s="3062"/>
      <c r="H55" s="3479"/>
      <c r="I55" s="2306"/>
      <c r="J55" s="3479"/>
      <c r="K55" s="3062"/>
      <c r="L55" s="3479"/>
      <c r="M55" s="2306"/>
      <c r="N55" s="3479"/>
      <c r="O55" s="3062"/>
      <c r="P55" s="3479"/>
      <c r="Q55" s="2306"/>
      <c r="R55" s="3479"/>
      <c r="S55" s="3062"/>
      <c r="T55" s="3769"/>
      <c r="U55" s="3769"/>
      <c r="V55" s="3479"/>
      <c r="W55" s="3360"/>
      <c r="X55" s="3479"/>
      <c r="Y55" s="2306"/>
      <c r="Z55" s="3770"/>
      <c r="AA55" s="3360"/>
      <c r="AB55" s="3479"/>
      <c r="AC55" s="3062"/>
      <c r="AD55" s="3479"/>
      <c r="AE55" s="2306"/>
      <c r="AF55" s="3525"/>
      <c r="AG55" s="2306"/>
      <c r="AH55" s="3369"/>
      <c r="AI55" s="2245"/>
      <c r="AJ55" s="1508"/>
      <c r="AK55" s="2853"/>
      <c r="AL55" s="2853"/>
    </row>
    <row r="56" spans="1:38" ht="18" customHeight="1" thickBot="1">
      <c r="A56" s="2814" t="s">
        <v>843</v>
      </c>
      <c r="B56" s="2815"/>
      <c r="C56" s="2815"/>
      <c r="D56" s="1509">
        <f>ROUND(SUM(D25)+SUM(D37)+SUM(D45)+SUM(D54),1)</f>
        <v>4464.8</v>
      </c>
      <c r="E56" s="2855"/>
      <c r="F56" s="3771">
        <f>ROUND(SUM(F25)+SUM(F37)+SUM(F45)+SUM(F54),1)</f>
        <v>4464.8</v>
      </c>
      <c r="G56" s="3772"/>
      <c r="H56" s="3771">
        <f>ROUND(SUM(H25)+SUM(H37)+SUM(H45)+SUM(H54),1)</f>
        <v>386.6</v>
      </c>
      <c r="I56" s="2313"/>
      <c r="J56" s="3771">
        <f>ROUND(SUM(J25)+SUM(J37)+SUM(J45)+SUM(J54),1)</f>
        <v>386.6</v>
      </c>
      <c r="K56" s="2313"/>
      <c r="L56" s="3771">
        <f>ROUND(SUM(L25)+SUM(L37)+SUM(L45)+SUM(L54),1)</f>
        <v>4255.8</v>
      </c>
      <c r="M56" s="2313"/>
      <c r="N56" s="3771">
        <f>ROUND(SUM(N25)+SUM(N37)+SUM(N45)+SUM(N54),1)</f>
        <v>4255.8</v>
      </c>
      <c r="O56" s="2313"/>
      <c r="P56" s="3771">
        <f>ROUND(SUM(P25)+SUM(P37)+SUM(P45)+SUM(P54),1)</f>
        <v>84.8</v>
      </c>
      <c r="Q56" s="2313"/>
      <c r="R56" s="3771">
        <f>ROUND(SUM(R25)+SUM(R37)+SUM(R45)+SUM(R54),1)</f>
        <v>84.8</v>
      </c>
      <c r="S56" s="2311"/>
      <c r="T56" s="3773"/>
      <c r="U56" s="2313"/>
      <c r="V56" s="3480">
        <f>ROUND(SUM(V25)+SUM(V37)+SUM(V45)+SUM(V54),1)</f>
        <v>9192</v>
      </c>
      <c r="W56" s="2313"/>
      <c r="X56" s="3480">
        <f>ROUND(SUM(X25)+SUM(X37)+SUM(X45)+SUM(X54),1)</f>
        <v>9192</v>
      </c>
      <c r="Y56" s="3774"/>
      <c r="Z56" s="2314"/>
      <c r="AA56" s="2313"/>
      <c r="AB56" s="3480">
        <f>ROUND(SUM(AB25)+SUM(AB37)+SUM(AB45)+SUM(AB54),1)</f>
        <v>3658</v>
      </c>
      <c r="AC56" s="2313"/>
      <c r="AD56" s="3480">
        <f>ROUND(SUM(AD25)+SUM(AD37)+SUM(AD45)+SUM(AD54),1)</f>
        <v>3658</v>
      </c>
      <c r="AE56" s="2313"/>
      <c r="AF56" s="3526"/>
      <c r="AG56" s="2313"/>
      <c r="AH56" s="25">
        <f>ROUND(SUM(X56)-SUM(AD56),1)</f>
        <v>5534</v>
      </c>
      <c r="AI56" s="2245"/>
      <c r="AJ56" s="1510">
        <f>ROUND(AH56/AD56,3)</f>
        <v>1.5129999999999999</v>
      </c>
      <c r="AK56" s="2852"/>
      <c r="AL56" s="2853"/>
    </row>
    <row r="57" spans="1:38" ht="15" customHeight="1" thickTop="1">
      <c r="F57" s="2824" t="s">
        <v>14</v>
      </c>
      <c r="G57" s="2824"/>
      <c r="H57" s="2824"/>
      <c r="I57" s="2824"/>
      <c r="J57" s="2824"/>
      <c r="K57" s="2824"/>
      <c r="L57" s="2824"/>
      <c r="M57" s="2824"/>
      <c r="N57" s="2824" t="s">
        <v>14</v>
      </c>
      <c r="O57" s="2824"/>
      <c r="P57" s="2824"/>
      <c r="Q57" s="2824"/>
      <c r="R57" s="2824" t="s">
        <v>14</v>
      </c>
      <c r="S57" s="2824"/>
      <c r="T57" s="2824"/>
      <c r="U57" s="2824"/>
      <c r="V57" s="2824"/>
      <c r="W57" s="2824"/>
      <c r="X57" s="2824"/>
      <c r="Y57" s="2824"/>
      <c r="Z57" s="2824"/>
      <c r="AA57" s="2824"/>
    </row>
    <row r="58" spans="1:38" ht="15" customHeight="1">
      <c r="F58" s="2824"/>
      <c r="G58" s="2824"/>
      <c r="H58" s="2824"/>
      <c r="I58" s="2824"/>
      <c r="J58" s="2824"/>
      <c r="K58" s="2824"/>
      <c r="L58" s="2824"/>
      <c r="M58" s="2824"/>
      <c r="N58" s="2824"/>
      <c r="O58" s="2824"/>
      <c r="P58" s="2824"/>
      <c r="Q58" s="2824"/>
      <c r="R58" s="2824"/>
      <c r="S58" s="2824"/>
      <c r="T58" s="2824"/>
      <c r="U58" s="2824"/>
      <c r="V58" s="2824"/>
      <c r="W58" s="2824"/>
      <c r="X58" s="2824"/>
      <c r="Y58" s="2824"/>
      <c r="Z58" s="2824"/>
      <c r="AA58" s="2824"/>
    </row>
    <row r="59" spans="1:38">
      <c r="F59" s="2824"/>
      <c r="G59" s="2824"/>
      <c r="H59" s="2824" t="s">
        <v>14</v>
      </c>
      <c r="I59" s="2824"/>
      <c r="J59" s="2824"/>
      <c r="K59" s="2824"/>
      <c r="L59" s="2824"/>
      <c r="M59" s="2824"/>
      <c r="N59" s="2824"/>
      <c r="O59" s="2824"/>
      <c r="P59" s="2824"/>
      <c r="Q59" s="2824"/>
      <c r="R59" s="2824"/>
      <c r="S59" s="2824"/>
      <c r="T59" s="2824"/>
      <c r="U59" s="2824"/>
      <c r="V59" s="2824" t="s">
        <v>14</v>
      </c>
      <c r="W59" s="2824"/>
      <c r="X59" s="2824"/>
      <c r="Y59" s="2824"/>
      <c r="Z59" s="2824"/>
      <c r="AA59" s="2824"/>
    </row>
    <row r="60" spans="1:38">
      <c r="F60" s="2824"/>
      <c r="G60" s="2824"/>
      <c r="H60" s="2824" t="s">
        <v>14</v>
      </c>
      <c r="I60" s="2824"/>
      <c r="J60" s="2824"/>
      <c r="K60" s="2824"/>
      <c r="L60" s="2824"/>
      <c r="M60" s="2824"/>
      <c r="N60" s="2824"/>
      <c r="O60" s="2824"/>
      <c r="P60" s="2824"/>
      <c r="Q60" s="2824"/>
      <c r="R60" s="2824"/>
      <c r="S60" s="2824"/>
      <c r="T60" s="2824"/>
      <c r="U60" s="2824"/>
      <c r="V60" s="2824"/>
      <c r="W60" s="2824"/>
      <c r="X60" s="2824"/>
      <c r="Y60" s="2824"/>
      <c r="Z60" s="2824"/>
      <c r="AA60" s="2824"/>
    </row>
    <row r="61" spans="1:38">
      <c r="F61" s="2824"/>
      <c r="G61" s="2824"/>
      <c r="H61" s="2824" t="s">
        <v>14</v>
      </c>
      <c r="I61" s="2824"/>
      <c r="J61" s="2824"/>
      <c r="K61" s="2824"/>
      <c r="L61" s="2824"/>
      <c r="M61" s="2824"/>
      <c r="N61" s="2824"/>
      <c r="O61" s="2824"/>
      <c r="P61" s="2824"/>
      <c r="Q61" s="2824"/>
      <c r="R61" s="2824"/>
      <c r="S61" s="2824"/>
      <c r="T61" s="2824"/>
      <c r="U61" s="2824"/>
      <c r="V61" s="2824"/>
      <c r="W61" s="2824"/>
      <c r="X61" s="2824"/>
      <c r="Y61" s="2824"/>
      <c r="Z61" s="2824"/>
      <c r="AA61" s="2824"/>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50" workbookViewId="0"/>
  </sheetViews>
  <sheetFormatPr defaultColWidth="8.765625" defaultRowHeight="16.5" customHeight="1"/>
  <cols>
    <col min="1" max="1" width="43.765625" style="214" customWidth="1"/>
    <col min="2" max="2" width="1.765625" style="214" customWidth="1"/>
    <col min="3" max="3" width="13.4609375" style="214" customWidth="1"/>
    <col min="4" max="4" width="1.765625" style="214" customWidth="1"/>
    <col min="5" max="5" width="13.07421875" style="214" customWidth="1"/>
    <col min="6" max="6" width="1.765625" style="214" customWidth="1"/>
    <col min="7" max="7" width="15.07421875" style="214" customWidth="1"/>
    <col min="8" max="8" width="1.765625" style="214" customWidth="1"/>
    <col min="9" max="9" width="14.4609375" style="214" customWidth="1"/>
    <col min="10" max="10" width="1.765625" style="214" customWidth="1"/>
    <col min="11" max="11" width="13.07421875" style="214" customWidth="1"/>
    <col min="12" max="12" width="1.765625" style="214" customWidth="1"/>
    <col min="13" max="13" width="13.07421875" style="214" customWidth="1"/>
    <col min="14" max="14" width="1.765625" style="214" customWidth="1"/>
    <col min="15" max="15" width="13.07421875" style="297" customWidth="1"/>
    <col min="16" max="16" width="1.765625" style="214" customWidth="1"/>
    <col min="17" max="17" width="13.4609375" style="297" customWidth="1"/>
    <col min="18" max="18" width="1.765625" style="214" customWidth="1"/>
    <col min="19" max="19" width="13.07421875" style="214" customWidth="1"/>
    <col min="20" max="20" width="1.765625" style="214" customWidth="1"/>
    <col min="21" max="21" width="13" style="214" customWidth="1"/>
    <col min="22" max="22" width="1.765625" style="214" customWidth="1"/>
    <col min="23" max="23" width="13.765625" style="214" customWidth="1"/>
    <col min="24" max="24" width="1.765625" style="214" customWidth="1"/>
    <col min="25" max="25" width="12.765625" style="214" customWidth="1"/>
    <col min="26" max="27" width="1.765625" style="214" customWidth="1"/>
    <col min="28" max="28" width="15.07421875" style="297" customWidth="1"/>
    <col min="29" max="30" width="1.765625" style="297" customWidth="1"/>
    <col min="31" max="31" width="17.4609375" style="297" customWidth="1"/>
    <col min="32" max="32" width="0.765625" style="297" customWidth="1"/>
    <col min="33" max="33" width="1.765625" style="297" customWidth="1"/>
    <col min="34" max="34" width="12.765625" style="297" bestFit="1" customWidth="1"/>
    <col min="35" max="35" width="1.07421875" style="297" customWidth="1"/>
    <col min="36" max="36" width="11.07421875" style="297" customWidth="1"/>
    <col min="37" max="37" width="8.765625" style="297"/>
    <col min="38" max="16384" width="8.765625" style="214"/>
  </cols>
  <sheetData>
    <row r="1" spans="1:37" ht="16.5" customHeight="1">
      <c r="A1" s="640" t="s">
        <v>885</v>
      </c>
    </row>
    <row r="2" spans="1:37" ht="16.5" customHeight="1">
      <c r="A2" s="818"/>
    </row>
    <row r="3" spans="1:37" ht="23.15" customHeight="1">
      <c r="A3" s="222" t="s">
        <v>0</v>
      </c>
      <c r="B3" s="225"/>
      <c r="C3" s="225"/>
      <c r="D3" s="225"/>
      <c r="E3" s="225"/>
      <c r="F3" s="225"/>
      <c r="G3" s="225"/>
      <c r="H3" s="225"/>
      <c r="I3" s="225"/>
      <c r="J3" s="225"/>
      <c r="K3" s="225"/>
      <c r="L3" s="225"/>
      <c r="M3" s="225"/>
      <c r="N3" s="225"/>
      <c r="O3" s="3110"/>
      <c r="P3" s="225"/>
      <c r="Q3" s="3110"/>
      <c r="R3" s="225"/>
      <c r="S3" s="225"/>
      <c r="T3" s="225"/>
      <c r="U3" s="225"/>
      <c r="V3" s="225"/>
      <c r="W3" s="225"/>
      <c r="X3" s="225"/>
      <c r="Y3" s="225"/>
      <c r="Z3" s="225"/>
      <c r="AA3" s="225"/>
      <c r="AB3" s="3110"/>
      <c r="AC3" s="3110"/>
      <c r="AD3" s="3110"/>
      <c r="AE3" s="3110"/>
      <c r="AF3" s="3110"/>
      <c r="AG3" s="3110"/>
      <c r="AI3" s="3110"/>
    </row>
    <row r="4" spans="1:37" ht="23.25" customHeight="1">
      <c r="A4" s="222" t="s">
        <v>121</v>
      </c>
      <c r="B4" s="225"/>
      <c r="C4" s="225"/>
      <c r="D4" s="225"/>
      <c r="E4" s="225"/>
      <c r="F4" s="225"/>
      <c r="G4" s="225"/>
      <c r="H4" s="225"/>
      <c r="I4" s="225" t="s">
        <v>14</v>
      </c>
      <c r="J4" s="225"/>
      <c r="K4" s="225"/>
      <c r="L4" s="225"/>
      <c r="M4" s="225"/>
      <c r="N4" s="225"/>
      <c r="O4" s="3110"/>
      <c r="P4" s="225"/>
      <c r="Q4" s="3110"/>
      <c r="R4" s="225"/>
      <c r="S4" s="225"/>
      <c r="T4" s="225"/>
      <c r="U4" s="225"/>
      <c r="V4" s="225"/>
      <c r="W4" s="225"/>
      <c r="X4" s="225"/>
      <c r="Y4" s="225" t="s">
        <v>14</v>
      </c>
      <c r="Z4" s="225"/>
      <c r="AA4" s="225"/>
      <c r="AB4" s="3110"/>
      <c r="AC4" s="3110"/>
      <c r="AD4" s="3110"/>
      <c r="AE4" s="3110"/>
      <c r="AF4" s="3110"/>
      <c r="AG4" s="3110"/>
      <c r="AI4" s="3110"/>
    </row>
    <row r="5" spans="1:37" ht="23.25" customHeight="1">
      <c r="A5" s="224" t="s">
        <v>122</v>
      </c>
      <c r="B5" s="225"/>
      <c r="C5" s="225"/>
      <c r="D5" s="225"/>
      <c r="E5" s="225"/>
      <c r="F5" s="225"/>
      <c r="G5" s="225"/>
      <c r="H5" s="225"/>
      <c r="I5" s="225"/>
      <c r="J5" s="225"/>
      <c r="K5" s="225"/>
      <c r="L5" s="225"/>
      <c r="M5" s="225"/>
      <c r="N5" s="225"/>
      <c r="O5" s="3110"/>
      <c r="P5" s="225"/>
      <c r="Q5" s="3110"/>
      <c r="R5" s="225"/>
      <c r="S5" s="225"/>
      <c r="T5" s="225"/>
      <c r="U5" s="225"/>
      <c r="V5" s="225"/>
      <c r="W5" s="225"/>
      <c r="X5" s="225"/>
      <c r="Y5" s="225"/>
      <c r="Z5" s="225"/>
      <c r="AA5" s="225"/>
      <c r="AC5" s="3928"/>
      <c r="AD5" s="3929"/>
      <c r="AE5" s="3929"/>
      <c r="AF5" s="3929"/>
      <c r="AG5" s="3929"/>
      <c r="AH5" s="3929"/>
      <c r="AI5" s="3929"/>
      <c r="AJ5" s="3929"/>
    </row>
    <row r="6" spans="1:37" ht="23.25" customHeight="1">
      <c r="A6" s="224" t="s">
        <v>1420</v>
      </c>
      <c r="B6" s="225"/>
      <c r="C6" s="225"/>
      <c r="D6" s="225"/>
      <c r="E6" s="225"/>
      <c r="F6" s="225"/>
      <c r="G6" s="225"/>
      <c r="H6" s="225"/>
      <c r="I6" s="225"/>
      <c r="J6" s="225"/>
      <c r="K6" s="225"/>
      <c r="L6" s="225"/>
      <c r="M6" s="225"/>
      <c r="N6" s="225"/>
      <c r="O6" s="3110"/>
      <c r="P6" s="225"/>
      <c r="Q6" s="3110"/>
      <c r="R6" s="225"/>
      <c r="S6" s="225"/>
      <c r="T6" s="225"/>
      <c r="U6" s="225"/>
      <c r="V6" s="225"/>
      <c r="W6" s="225"/>
      <c r="X6" s="225"/>
      <c r="Y6" s="225"/>
      <c r="Z6" s="225"/>
      <c r="AA6" s="225"/>
      <c r="AB6" s="3110"/>
      <c r="AC6" s="3110"/>
      <c r="AD6" s="3110"/>
      <c r="AE6" s="3110"/>
      <c r="AF6" s="3110"/>
      <c r="AG6" s="3110"/>
      <c r="AI6" s="3110"/>
    </row>
    <row r="7" spans="1:37" ht="23.25" customHeight="1">
      <c r="A7" s="222" t="s">
        <v>1280</v>
      </c>
      <c r="B7" s="225"/>
      <c r="C7" s="225"/>
      <c r="D7" s="225"/>
      <c r="E7" s="225"/>
      <c r="F7" s="225"/>
      <c r="G7" s="225"/>
      <c r="H7" s="225"/>
      <c r="I7" s="225"/>
      <c r="J7" s="225"/>
      <c r="K7" s="225"/>
      <c r="L7" s="225"/>
      <c r="M7" s="225"/>
      <c r="N7" s="225"/>
      <c r="O7" s="3110"/>
      <c r="P7" s="225"/>
      <c r="Q7" s="3110"/>
      <c r="R7" s="225"/>
      <c r="S7" s="225"/>
      <c r="T7" s="225"/>
      <c r="U7" s="225"/>
      <c r="V7" s="225"/>
      <c r="W7" s="225"/>
      <c r="X7" s="225"/>
      <c r="Y7" s="225"/>
      <c r="Z7" s="225"/>
      <c r="AA7" s="225"/>
      <c r="AB7" s="3110"/>
      <c r="AC7" s="3110"/>
      <c r="AD7" s="3110"/>
      <c r="AE7" s="3110"/>
      <c r="AF7" s="3110"/>
      <c r="AG7" s="3110"/>
      <c r="AI7" s="3110"/>
    </row>
    <row r="8" spans="1:37" ht="16.5" customHeight="1">
      <c r="A8" s="225"/>
      <c r="B8" s="225"/>
      <c r="C8" s="225"/>
      <c r="D8" s="225"/>
      <c r="E8" s="225"/>
      <c r="F8" s="225"/>
      <c r="G8" s="225"/>
      <c r="H8" s="225"/>
      <c r="I8" s="225"/>
      <c r="J8" s="225"/>
      <c r="K8" s="225"/>
      <c r="L8" s="225"/>
      <c r="M8" s="225"/>
      <c r="N8" s="225"/>
      <c r="O8" s="3110"/>
      <c r="P8" s="225"/>
      <c r="Q8" s="3110"/>
      <c r="R8" s="225"/>
      <c r="S8" s="225"/>
      <c r="T8" s="225"/>
      <c r="U8" s="225"/>
      <c r="V8" s="225"/>
      <c r="W8" s="225"/>
      <c r="X8" s="225"/>
      <c r="Y8" s="225"/>
      <c r="Z8" s="225"/>
      <c r="AA8" s="225"/>
      <c r="AB8" s="3110"/>
      <c r="AC8" s="3110"/>
      <c r="AD8" s="3110"/>
      <c r="AE8" s="3110"/>
      <c r="AF8" s="3110"/>
      <c r="AG8" s="3110"/>
      <c r="AI8" s="3110"/>
    </row>
    <row r="9" spans="1:37" ht="16.5" customHeight="1">
      <c r="A9" s="225"/>
      <c r="B9" s="225"/>
      <c r="C9" s="225"/>
      <c r="D9" s="225"/>
      <c r="E9" s="225"/>
      <c r="F9" s="225"/>
      <c r="G9" s="225"/>
      <c r="H9" s="225"/>
      <c r="I9" s="225"/>
      <c r="J9" s="225"/>
      <c r="K9" s="225"/>
      <c r="L9" s="225"/>
      <c r="M9" s="225"/>
      <c r="N9" s="225"/>
      <c r="O9" s="3110"/>
      <c r="P9" s="225"/>
      <c r="Q9" s="3110"/>
      <c r="R9" s="225"/>
      <c r="S9" s="225"/>
      <c r="T9" s="225"/>
      <c r="U9" s="225"/>
      <c r="V9" s="225"/>
      <c r="W9" s="225"/>
      <c r="X9" s="225"/>
      <c r="Y9" s="225"/>
      <c r="Z9" s="225"/>
      <c r="AA9" s="225"/>
      <c r="AB9" s="3110"/>
      <c r="AC9" s="3110"/>
      <c r="AD9" s="3110"/>
      <c r="AE9" s="3110"/>
      <c r="AF9" s="3110"/>
      <c r="AG9" s="3110"/>
      <c r="AI9" s="3110"/>
    </row>
    <row r="10" spans="1:37" ht="16.5" customHeight="1">
      <c r="A10" s="225"/>
      <c r="B10" s="225"/>
      <c r="C10" s="225"/>
      <c r="D10" s="225"/>
      <c r="E10" s="225"/>
      <c r="F10" s="225"/>
      <c r="G10" s="225"/>
      <c r="H10" s="225"/>
      <c r="I10" s="225"/>
      <c r="J10" s="225"/>
      <c r="K10" s="225"/>
      <c r="L10" s="225"/>
      <c r="M10" s="225"/>
      <c r="N10" s="225"/>
      <c r="O10" s="3110"/>
      <c r="P10" s="225"/>
      <c r="Q10" s="3110"/>
      <c r="R10" s="225"/>
      <c r="S10" s="225"/>
      <c r="T10" s="225"/>
      <c r="U10" s="225"/>
      <c r="V10" s="225"/>
      <c r="W10" s="225"/>
      <c r="X10" s="225"/>
      <c r="Y10" s="225"/>
      <c r="Z10" s="225"/>
      <c r="AA10" s="225"/>
      <c r="AB10" s="3110"/>
      <c r="AC10" s="3110"/>
      <c r="AD10" s="3110"/>
      <c r="AE10" s="3110"/>
      <c r="AF10" s="3110"/>
      <c r="AG10" s="3110"/>
      <c r="AI10" s="3110"/>
    </row>
    <row r="11" spans="1:37" ht="16.5" customHeight="1">
      <c r="A11" s="225"/>
      <c r="B11" s="225"/>
      <c r="C11" s="225"/>
      <c r="D11" s="225"/>
      <c r="E11" s="225"/>
      <c r="F11" s="225"/>
      <c r="G11" s="225"/>
      <c r="H11" s="225"/>
      <c r="I11" s="225"/>
      <c r="J11" s="225"/>
      <c r="K11" s="225"/>
      <c r="L11" s="225"/>
      <c r="M11" s="225"/>
      <c r="N11" s="225"/>
      <c r="O11" s="3110"/>
      <c r="P11" s="225"/>
      <c r="Q11" s="3110"/>
      <c r="R11" s="225"/>
      <c r="S11" s="225"/>
      <c r="T11" s="225"/>
      <c r="U11" s="225"/>
      <c r="V11" s="225"/>
      <c r="W11" s="225"/>
      <c r="X11" s="225"/>
      <c r="Y11" s="225"/>
      <c r="Z11" s="225"/>
      <c r="AA11" s="225"/>
      <c r="AC11" s="3110"/>
      <c r="AD11" s="3110"/>
      <c r="AE11" s="3110"/>
      <c r="AF11" s="3110"/>
      <c r="AG11" s="3110"/>
      <c r="AI11" s="3110"/>
    </row>
    <row r="12" spans="1:37" ht="16.5" customHeight="1">
      <c r="A12" s="225"/>
      <c r="B12" s="225"/>
      <c r="C12" s="225" t="s">
        <v>14</v>
      </c>
      <c r="D12" s="225" t="s">
        <v>14</v>
      </c>
      <c r="E12" s="225"/>
      <c r="F12" s="225"/>
      <c r="G12" s="225"/>
      <c r="H12" s="225"/>
      <c r="I12" s="225"/>
      <c r="J12" s="225"/>
      <c r="K12" s="225"/>
      <c r="L12" s="225"/>
      <c r="M12" s="225"/>
      <c r="N12" s="225"/>
      <c r="O12" s="3110"/>
      <c r="P12" s="225"/>
      <c r="Q12" s="3110"/>
      <c r="R12" s="225"/>
      <c r="S12" s="225"/>
      <c r="T12" s="225"/>
      <c r="U12" s="225"/>
      <c r="V12" s="225"/>
      <c r="W12" s="225"/>
      <c r="X12" s="225"/>
      <c r="Z12" s="225"/>
      <c r="AA12" s="516"/>
      <c r="AB12" s="3930" t="s">
        <v>1422</v>
      </c>
      <c r="AC12" s="3931"/>
      <c r="AD12" s="3931"/>
      <c r="AE12" s="3931"/>
      <c r="AF12" s="3931"/>
      <c r="AG12" s="3931"/>
      <c r="AH12" s="3931"/>
      <c r="AI12" s="3931"/>
      <c r="AJ12" s="3931"/>
    </row>
    <row r="13" spans="1:37" ht="16.5" customHeight="1">
      <c r="A13" s="225"/>
      <c r="B13" s="225"/>
      <c r="C13" s="1539" t="s">
        <v>1421</v>
      </c>
      <c r="D13" s="514"/>
      <c r="E13" s="514"/>
      <c r="F13" s="514"/>
      <c r="G13" s="514"/>
      <c r="H13" s="514"/>
      <c r="I13" s="514"/>
      <c r="J13" s="514"/>
      <c r="K13" s="514"/>
      <c r="L13" s="514"/>
      <c r="M13" s="514"/>
      <c r="N13" s="514"/>
      <c r="O13" s="3111"/>
      <c r="P13" s="514"/>
      <c r="Q13" s="3111"/>
      <c r="R13" s="514"/>
      <c r="S13" s="514"/>
      <c r="T13" s="514"/>
      <c r="U13" s="1539">
        <v>2022</v>
      </c>
      <c r="V13" s="514"/>
      <c r="W13" s="514"/>
      <c r="X13" s="514"/>
      <c r="Y13" s="514"/>
      <c r="Z13" s="514"/>
      <c r="AA13" s="514"/>
      <c r="AB13" s="3111"/>
      <c r="AC13" s="3112"/>
      <c r="AD13" s="3112"/>
      <c r="AE13" s="3112"/>
      <c r="AF13" s="3111"/>
      <c r="AG13" s="3111"/>
      <c r="AH13" s="3305" t="s">
        <v>7</v>
      </c>
      <c r="AI13" s="3306"/>
      <c r="AJ13" s="3305" t="s">
        <v>8</v>
      </c>
    </row>
    <row r="14" spans="1:37" ht="16.5" customHeight="1">
      <c r="A14" s="225"/>
      <c r="B14" s="225"/>
      <c r="C14" s="739" t="s">
        <v>123</v>
      </c>
      <c r="D14" s="514"/>
      <c r="E14" s="739" t="s">
        <v>124</v>
      </c>
      <c r="F14" s="514"/>
      <c r="G14" s="739" t="s">
        <v>125</v>
      </c>
      <c r="H14" s="514"/>
      <c r="I14" s="739" t="s">
        <v>126</v>
      </c>
      <c r="J14" s="514"/>
      <c r="K14" s="739" t="s">
        <v>127</v>
      </c>
      <c r="L14" s="514"/>
      <c r="M14" s="739" t="s">
        <v>128</v>
      </c>
      <c r="N14" s="514"/>
      <c r="O14" s="3305" t="s">
        <v>129</v>
      </c>
      <c r="P14" s="514"/>
      <c r="Q14" s="3305" t="s">
        <v>130</v>
      </c>
      <c r="R14" s="514"/>
      <c r="S14" s="739" t="s">
        <v>131</v>
      </c>
      <c r="T14" s="514"/>
      <c r="U14" s="739" t="s">
        <v>132</v>
      </c>
      <c r="V14" s="514"/>
      <c r="W14" s="739" t="s">
        <v>133</v>
      </c>
      <c r="X14" s="514"/>
      <c r="Y14" s="739" t="s">
        <v>134</v>
      </c>
      <c r="Z14" s="514"/>
      <c r="AA14" s="514"/>
      <c r="AB14" s="3113">
        <v>2021</v>
      </c>
      <c r="AC14" s="3111"/>
      <c r="AD14" s="3111"/>
      <c r="AE14" s="3113">
        <v>2020</v>
      </c>
      <c r="AF14" s="3111"/>
      <c r="AG14" s="3111"/>
      <c r="AH14" s="3307" t="s">
        <v>11</v>
      </c>
      <c r="AI14" s="3306"/>
      <c r="AJ14" s="3307" t="s">
        <v>12</v>
      </c>
    </row>
    <row r="15" spans="1:37" ht="6" customHeight="1">
      <c r="A15" s="225"/>
      <c r="B15" s="225"/>
      <c r="C15" s="517"/>
      <c r="D15" s="225"/>
      <c r="E15" s="517"/>
      <c r="F15" s="225"/>
      <c r="G15" s="517"/>
      <c r="H15" s="225"/>
      <c r="I15" s="517"/>
      <c r="J15" s="225"/>
      <c r="K15" s="517"/>
      <c r="L15" s="225"/>
      <c r="M15" s="517"/>
      <c r="N15" s="225"/>
      <c r="O15" s="3114" t="s">
        <v>14</v>
      </c>
      <c r="P15" s="225"/>
      <c r="Q15" s="3114"/>
      <c r="R15" s="225"/>
      <c r="S15" s="517"/>
      <c r="T15" s="225"/>
      <c r="U15" s="517" t="s">
        <v>14</v>
      </c>
      <c r="V15" s="225"/>
      <c r="W15" s="517"/>
      <c r="X15" s="225"/>
      <c r="Y15" s="517"/>
      <c r="Z15" s="225"/>
      <c r="AA15" s="225"/>
      <c r="AB15" s="3114"/>
      <c r="AC15" s="3110"/>
      <c r="AD15" s="3110"/>
      <c r="AE15" s="3114"/>
      <c r="AF15" s="3110"/>
      <c r="AG15" s="3110"/>
      <c r="AI15" s="3110"/>
    </row>
    <row r="16" spans="1:37" ht="16.5" customHeight="1">
      <c r="A16" s="515" t="s">
        <v>135</v>
      </c>
      <c r="B16" s="225"/>
      <c r="C16" s="1724">
        <f>'Exhibit F'!D12+'Exhibit G'!D13+'Exhibit H'!B12+'Exhibit I'!E15</f>
        <v>18751.099999999999</v>
      </c>
      <c r="D16" s="518"/>
      <c r="E16" s="518"/>
      <c r="F16" s="518"/>
      <c r="G16" s="518"/>
      <c r="H16" s="518"/>
      <c r="I16" s="518"/>
      <c r="J16" s="518"/>
      <c r="K16" s="518"/>
      <c r="L16" s="518"/>
      <c r="M16" s="518"/>
      <c r="N16" s="518"/>
      <c r="O16" s="1724"/>
      <c r="P16" s="518"/>
      <c r="Q16" s="1724"/>
      <c r="R16" s="518"/>
      <c r="S16" s="518"/>
      <c r="T16" s="518"/>
      <c r="U16" s="518"/>
      <c r="V16" s="518"/>
      <c r="W16" s="518"/>
      <c r="X16" s="518"/>
      <c r="Y16" s="518"/>
      <c r="Z16" s="518"/>
      <c r="AA16" s="519"/>
      <c r="AB16" s="1724">
        <f>C16</f>
        <v>18751.099999999999</v>
      </c>
      <c r="AC16" s="1724"/>
      <c r="AD16" s="3308"/>
      <c r="AE16" s="1724">
        <f>'Exhibit F'!AF12+'Exhibit G'!AG13+'Exhibit H'!AD12+'Exhibit I'!AI15</f>
        <v>14284.800000000001</v>
      </c>
      <c r="AF16" s="1724"/>
      <c r="AG16" s="1724"/>
      <c r="AH16" s="1724">
        <f>ROUND(SUM(AB16-AE16),1)</f>
        <v>4466.3</v>
      </c>
      <c r="AI16" s="3111"/>
      <c r="AJ16" s="3309">
        <f>ROUND(SUM(AH16/AE16),3)</f>
        <v>0.313</v>
      </c>
      <c r="AK16" s="3310"/>
    </row>
    <row r="17" spans="1:36" ht="16.5" customHeight="1">
      <c r="A17" s="225"/>
      <c r="B17" s="225"/>
      <c r="C17" s="225" t="s">
        <v>14</v>
      </c>
      <c r="D17" s="225"/>
      <c r="E17" s="520"/>
      <c r="F17" s="225"/>
      <c r="G17" s="520"/>
      <c r="H17" s="225"/>
      <c r="I17" s="520"/>
      <c r="J17" s="225"/>
      <c r="K17" s="520"/>
      <c r="L17" s="225"/>
      <c r="M17" s="520"/>
      <c r="N17" s="225"/>
      <c r="O17" s="3314"/>
      <c r="P17" s="225"/>
      <c r="Q17" s="3314"/>
      <c r="R17" s="225"/>
      <c r="S17" s="520"/>
      <c r="T17" s="225"/>
      <c r="U17" s="520"/>
      <c r="V17" s="225"/>
      <c r="W17" s="520"/>
      <c r="X17" s="225"/>
      <c r="Y17" s="520"/>
      <c r="Z17" s="225"/>
      <c r="AA17" s="521"/>
      <c r="AB17" s="3110" t="s">
        <v>14</v>
      </c>
      <c r="AC17" s="3110"/>
      <c r="AD17" s="3311"/>
      <c r="AE17" s="3110" t="s">
        <v>14</v>
      </c>
      <c r="AF17" s="3110"/>
      <c r="AG17" s="3110"/>
      <c r="AH17" s="885"/>
      <c r="AI17" s="3110"/>
      <c r="AJ17" s="885"/>
    </row>
    <row r="18" spans="1:36" ht="16.5" customHeight="1">
      <c r="A18" s="207" t="s">
        <v>13</v>
      </c>
      <c r="B18" s="225"/>
      <c r="C18" s="225"/>
      <c r="D18" s="225"/>
      <c r="E18" s="520"/>
      <c r="F18" s="225"/>
      <c r="G18" s="520"/>
      <c r="H18" s="225"/>
      <c r="I18" s="520"/>
      <c r="J18" s="225"/>
      <c r="K18" s="520"/>
      <c r="L18" s="225"/>
      <c r="M18" s="520"/>
      <c r="N18" s="225"/>
      <c r="O18" s="3314"/>
      <c r="P18" s="225"/>
      <c r="Q18" s="3314"/>
      <c r="R18" s="225"/>
      <c r="S18" s="520"/>
      <c r="T18" s="225"/>
      <c r="U18" s="520"/>
      <c r="V18" s="225"/>
      <c r="W18" s="520"/>
      <c r="X18" s="225"/>
      <c r="Y18" s="520"/>
      <c r="Z18" s="225"/>
      <c r="AA18" s="521"/>
      <c r="AB18" s="3110"/>
      <c r="AC18" s="3110"/>
      <c r="AD18" s="3311"/>
      <c r="AE18" s="3110"/>
      <c r="AF18" s="3110"/>
      <c r="AG18" s="3110"/>
      <c r="AH18" s="885"/>
      <c r="AI18" s="3110"/>
      <c r="AJ18" s="885"/>
    </row>
    <row r="19" spans="1:36" ht="16.5" customHeight="1">
      <c r="A19" s="261" t="s">
        <v>997</v>
      </c>
      <c r="B19" s="225"/>
      <c r="C19" s="225"/>
      <c r="D19" s="225"/>
      <c r="E19" s="520"/>
      <c r="F19" s="225"/>
      <c r="G19" s="520"/>
      <c r="H19" s="225"/>
      <c r="I19" s="520"/>
      <c r="J19" s="225"/>
      <c r="K19" s="520"/>
      <c r="L19" s="225"/>
      <c r="M19" s="520"/>
      <c r="N19" s="225"/>
      <c r="O19" s="3314"/>
      <c r="P19" s="225"/>
      <c r="Q19" s="3314"/>
      <c r="R19" s="225"/>
      <c r="S19" s="520"/>
      <c r="T19" s="225"/>
      <c r="U19" s="520"/>
      <c r="V19" s="225"/>
      <c r="W19" s="520"/>
      <c r="X19" s="225"/>
      <c r="Y19" s="520"/>
      <c r="Z19" s="225"/>
      <c r="AA19" s="521"/>
      <c r="AB19" s="3110"/>
      <c r="AC19" s="3110"/>
      <c r="AD19" s="3311"/>
      <c r="AE19" s="3110"/>
      <c r="AF19" s="3110"/>
      <c r="AG19" s="3110"/>
      <c r="AH19" s="885"/>
      <c r="AI19" s="3110"/>
      <c r="AJ19" s="885"/>
    </row>
    <row r="20" spans="1:36" ht="16.5" customHeight="1">
      <c r="A20" s="1045" t="s">
        <v>1272</v>
      </c>
      <c r="B20" s="666"/>
      <c r="C20" s="609"/>
      <c r="D20" s="609"/>
      <c r="E20" s="609"/>
      <c r="F20" s="609"/>
      <c r="G20" s="609"/>
      <c r="H20" s="225"/>
      <c r="I20" s="520"/>
      <c r="J20" s="225"/>
      <c r="K20" s="520"/>
      <c r="L20" s="225"/>
      <c r="M20" s="520"/>
      <c r="N20" s="225"/>
      <c r="O20" s="3314"/>
      <c r="P20" s="225"/>
      <c r="Q20" s="3314"/>
      <c r="R20" s="225"/>
      <c r="S20" s="520"/>
      <c r="T20" s="225"/>
      <c r="U20" s="520"/>
      <c r="V20" s="225"/>
      <c r="W20" s="520"/>
      <c r="X20" s="225"/>
      <c r="Y20" s="520"/>
      <c r="Z20" s="225"/>
      <c r="AA20" s="954"/>
      <c r="AB20" s="3110"/>
      <c r="AC20" s="3110"/>
      <c r="AD20" s="3311"/>
      <c r="AE20" s="3110"/>
      <c r="AF20" s="3110"/>
      <c r="AG20" s="3110"/>
      <c r="AH20" s="885"/>
      <c r="AI20" s="3110"/>
      <c r="AJ20" s="885"/>
    </row>
    <row r="21" spans="1:36" ht="16.5" customHeight="1">
      <c r="A21" s="666" t="s">
        <v>1003</v>
      </c>
      <c r="B21" s="666"/>
      <c r="C21" s="361">
        <f>+'Exhibit F'!D17</f>
        <v>3601.8</v>
      </c>
      <c r="D21" s="611"/>
      <c r="E21" s="361"/>
      <c r="F21" s="611"/>
      <c r="G21" s="361"/>
      <c r="H21" s="522"/>
      <c r="I21" s="361"/>
      <c r="J21" s="522"/>
      <c r="K21" s="361"/>
      <c r="L21" s="225"/>
      <c r="M21" s="361"/>
      <c r="N21" s="225"/>
      <c r="O21" s="3312"/>
      <c r="P21" s="225"/>
      <c r="Q21" s="3312"/>
      <c r="R21" s="225"/>
      <c r="S21" s="361"/>
      <c r="T21" s="225"/>
      <c r="U21" s="361"/>
      <c r="V21" s="225"/>
      <c r="W21" s="361"/>
      <c r="X21" s="225"/>
      <c r="Y21" s="361"/>
      <c r="Z21" s="225"/>
      <c r="AA21" s="954"/>
      <c r="AB21" s="1628">
        <f>ROUND(SUM(C21:Y21),1)</f>
        <v>3601.8</v>
      </c>
      <c r="AC21" s="3110"/>
      <c r="AD21" s="3311"/>
      <c r="AE21" s="3312">
        <f>+'Exhibit F'!AF17</f>
        <v>3187.3</v>
      </c>
      <c r="AF21" s="3110"/>
      <c r="AG21" s="3110"/>
      <c r="AH21" s="889">
        <f>ROUND(SUM(+AB21-AE21),1)</f>
        <v>414.5</v>
      </c>
      <c r="AI21" s="3313"/>
      <c r="AJ21" s="1717">
        <f>ROUND(IF(AE21=0,0,AH21/ABS(AE21)),3)</f>
        <v>0.13</v>
      </c>
    </row>
    <row r="22" spans="1:36" ht="16.5" customHeight="1">
      <c r="A22" s="666" t="s">
        <v>1270</v>
      </c>
      <c r="B22" s="670"/>
      <c r="C22" s="361">
        <f>+'Exhibit F'!D18</f>
        <v>3342.2000000000003</v>
      </c>
      <c r="D22" s="611"/>
      <c r="E22" s="361"/>
      <c r="F22" s="611"/>
      <c r="G22" s="361"/>
      <c r="H22" s="522"/>
      <c r="I22" s="361"/>
      <c r="J22" s="522"/>
      <c r="K22" s="361"/>
      <c r="L22" s="225"/>
      <c r="M22" s="361"/>
      <c r="N22" s="225"/>
      <c r="O22" s="3312"/>
      <c r="P22" s="225"/>
      <c r="Q22" s="361"/>
      <c r="R22" s="225"/>
      <c r="S22" s="361"/>
      <c r="T22" s="225"/>
      <c r="U22" s="361"/>
      <c r="V22" s="225"/>
      <c r="W22" s="361"/>
      <c r="X22" s="225"/>
      <c r="Y22" s="361"/>
      <c r="Z22" s="225"/>
      <c r="AA22" s="954"/>
      <c r="AB22" s="1628">
        <f>ROUND(SUM(C22:Y22),1)</f>
        <v>3342.2</v>
      </c>
      <c r="AC22" s="3110"/>
      <c r="AD22" s="3311"/>
      <c r="AE22" s="3312">
        <f>+'Exhibit F'!AF18</f>
        <v>211.6</v>
      </c>
      <c r="AF22" s="3110"/>
      <c r="AG22" s="3110"/>
      <c r="AH22" s="889">
        <f>ROUND(SUM(+AB22-AE22),1)</f>
        <v>3130.6</v>
      </c>
      <c r="AI22" s="3313"/>
      <c r="AJ22" s="3316">
        <f>ROUND(IF(AE22=0,0,AH22/ABS(AE22)),3)</f>
        <v>14.795</v>
      </c>
    </row>
    <row r="23" spans="1:36" ht="16.5" customHeight="1">
      <c r="A23" s="666" t="s">
        <v>1004</v>
      </c>
      <c r="B23" s="666"/>
      <c r="C23" s="361">
        <f>+'Exhibit F'!D19</f>
        <v>913.6</v>
      </c>
      <c r="D23" s="611"/>
      <c r="E23" s="361"/>
      <c r="F23" s="611"/>
      <c r="G23" s="361"/>
      <c r="H23" s="522"/>
      <c r="I23" s="361"/>
      <c r="J23" s="522"/>
      <c r="K23" s="361"/>
      <c r="L23" s="225"/>
      <c r="M23" s="361"/>
      <c r="N23" s="225"/>
      <c r="O23" s="3312"/>
      <c r="P23" s="225"/>
      <c r="Q23" s="361"/>
      <c r="R23" s="225"/>
      <c r="S23" s="361"/>
      <c r="T23" s="225"/>
      <c r="U23" s="361"/>
      <c r="V23" s="225"/>
      <c r="W23" s="361"/>
      <c r="X23" s="225"/>
      <c r="Y23" s="361"/>
      <c r="Z23" s="225"/>
      <c r="AA23" s="954"/>
      <c r="AB23" s="1628">
        <f>ROUND(SUM(C23:Y23),1)</f>
        <v>913.6</v>
      </c>
      <c r="AC23" s="3110"/>
      <c r="AD23" s="3311"/>
      <c r="AE23" s="3312">
        <f>+'Exhibit F'!AF19</f>
        <v>339.1</v>
      </c>
      <c r="AF23" s="3110"/>
      <c r="AG23" s="3110"/>
      <c r="AH23" s="889">
        <f>ROUND(SUM(+AB23-AE23),1)</f>
        <v>574.5</v>
      </c>
      <c r="AI23" s="3313"/>
      <c r="AJ23" s="1717">
        <f>ROUND(IF(AE23=0,0,AH23/ABS(AE23)),3)</f>
        <v>1.694</v>
      </c>
    </row>
    <row r="24" spans="1:36" ht="16.5" customHeight="1">
      <c r="A24" s="1070" t="s">
        <v>1005</v>
      </c>
      <c r="B24" s="666"/>
      <c r="C24" s="361">
        <f>+'Exhibit F'!D20</f>
        <v>-203</v>
      </c>
      <c r="D24" s="611"/>
      <c r="E24" s="361"/>
      <c r="F24" s="611"/>
      <c r="G24" s="361"/>
      <c r="H24" s="522"/>
      <c r="I24" s="361"/>
      <c r="J24" s="522"/>
      <c r="K24" s="361"/>
      <c r="L24" s="225"/>
      <c r="M24" s="361"/>
      <c r="N24" s="225"/>
      <c r="O24" s="3312"/>
      <c r="P24" s="225"/>
      <c r="Q24" s="361"/>
      <c r="R24" s="225"/>
      <c r="S24" s="361"/>
      <c r="T24" s="225"/>
      <c r="U24" s="361"/>
      <c r="V24" s="225"/>
      <c r="W24" s="361"/>
      <c r="X24" s="225"/>
      <c r="Y24" s="361"/>
      <c r="Z24" s="225"/>
      <c r="AA24" s="954"/>
      <c r="AB24" s="1628">
        <f t="shared" ref="AB24:AB30" si="0">ROUND(SUM(C24:Y24),1)</f>
        <v>-203</v>
      </c>
      <c r="AC24" s="3110"/>
      <c r="AD24" s="3311"/>
      <c r="AE24" s="3312">
        <f>+'Exhibit F'!AF20</f>
        <v>-69.8</v>
      </c>
      <c r="AF24" s="3110"/>
      <c r="AG24" s="3110"/>
      <c r="AH24" s="889">
        <f>-ROUND(SUM(+AB24-AE24),1)</f>
        <v>133.19999999999999</v>
      </c>
      <c r="AI24" s="3313"/>
      <c r="AJ24" s="1716">
        <f>ROUND(IF(AE24=0,0,AH24/ABS(AE24)),3)</f>
        <v>1.9079999999999999</v>
      </c>
    </row>
    <row r="25" spans="1:36" ht="16.5" customHeight="1">
      <c r="A25" s="1070" t="s">
        <v>1269</v>
      </c>
      <c r="B25" s="666"/>
      <c r="C25" s="361">
        <f>+'Exhibit F'!D21</f>
        <v>154.1</v>
      </c>
      <c r="D25" s="611"/>
      <c r="E25" s="361"/>
      <c r="F25" s="611"/>
      <c r="G25" s="361"/>
      <c r="H25" s="522"/>
      <c r="I25" s="361"/>
      <c r="J25" s="522"/>
      <c r="K25" s="361"/>
      <c r="L25" s="225"/>
      <c r="M25" s="361"/>
      <c r="N25" s="225"/>
      <c r="O25" s="3312"/>
      <c r="P25" s="225"/>
      <c r="Q25" s="361"/>
      <c r="R25" s="225"/>
      <c r="S25" s="361"/>
      <c r="T25" s="225"/>
      <c r="U25" s="361"/>
      <c r="V25" s="225"/>
      <c r="W25" s="361"/>
      <c r="X25" s="225"/>
      <c r="Y25" s="361"/>
      <c r="Z25" s="225"/>
      <c r="AA25" s="954"/>
      <c r="AB25" s="1628">
        <f t="shared" si="0"/>
        <v>154.1</v>
      </c>
      <c r="AC25" s="3110"/>
      <c r="AD25" s="3311"/>
      <c r="AE25" s="3312">
        <f>+'Exhibit F'!AF21</f>
        <v>107.4</v>
      </c>
      <c r="AF25" s="3110"/>
      <c r="AG25" s="3110"/>
      <c r="AH25" s="889">
        <f>ROUND(SUM(+AB25-AE25),1)</f>
        <v>46.7</v>
      </c>
      <c r="AI25" s="3313"/>
      <c r="AJ25" s="1716">
        <f t="shared" ref="AJ25:AJ30" si="1">ROUND(IF(AE25=0,0,AH25/ABS(AE25)),3)</f>
        <v>0.435</v>
      </c>
    </row>
    <row r="26" spans="1:36" ht="16.5" customHeight="1">
      <c r="A26" s="667" t="s">
        <v>1006</v>
      </c>
      <c r="B26" s="667"/>
      <c r="C26" s="669">
        <f>ROUND(SUM(C21:C25),1)</f>
        <v>7808.7</v>
      </c>
      <c r="D26" s="26"/>
      <c r="E26" s="669">
        <f>ROUND(SUM(E21:E25),1)</f>
        <v>0</v>
      </c>
      <c r="F26" s="26"/>
      <c r="G26" s="669">
        <f>ROUND(SUM(G21:G25),1)</f>
        <v>0</v>
      </c>
      <c r="H26" s="225"/>
      <c r="I26" s="880">
        <f>ROUND(SUM(I21:I25),1)</f>
        <v>0</v>
      </c>
      <c r="J26" s="225"/>
      <c r="K26" s="880">
        <f>ROUND(SUM(K21:K25),1)</f>
        <v>0</v>
      </c>
      <c r="L26" s="225"/>
      <c r="M26" s="880">
        <f>ROUND(SUM(M21:M25),1)</f>
        <v>0</v>
      </c>
      <c r="N26" s="225"/>
      <c r="O26" s="3116">
        <f>ROUND(SUM(O21:O25),1)</f>
        <v>0</v>
      </c>
      <c r="P26" s="225"/>
      <c r="Q26" s="3116">
        <f>ROUND(SUM(Q21:Q25),1)</f>
        <v>0</v>
      </c>
      <c r="R26" s="225"/>
      <c r="S26" s="880">
        <f>ROUND(SUM(S21:S25),1)</f>
        <v>0</v>
      </c>
      <c r="T26" s="225"/>
      <c r="U26" s="880">
        <f>ROUND(SUM(U21:U25),1)</f>
        <v>0</v>
      </c>
      <c r="V26" s="225"/>
      <c r="W26" s="880">
        <f>ROUND(SUM(W21:W25),1)</f>
        <v>0</v>
      </c>
      <c r="X26" s="225"/>
      <c r="Y26" s="880">
        <f>ROUND(SUM(Y21:Y25),1)</f>
        <v>0</v>
      </c>
      <c r="Z26" s="225"/>
      <c r="AA26" s="954"/>
      <c r="AB26" s="3115">
        <f>ROUND(SUM(C26:Y26),1)</f>
        <v>7808.7</v>
      </c>
      <c r="AC26" s="3110"/>
      <c r="AD26" s="3311"/>
      <c r="AE26" s="3116">
        <f>ROUND(SUM(AE21:AE25),1)</f>
        <v>3775.6</v>
      </c>
      <c r="AF26" s="3110"/>
      <c r="AG26" s="3110"/>
      <c r="AH26" s="1531">
        <f>ROUND(SUM(AB26-AE26),1)</f>
        <v>4033.1</v>
      </c>
      <c r="AI26" s="3313"/>
      <c r="AJ26" s="2189">
        <f t="shared" si="1"/>
        <v>1.0680000000000001</v>
      </c>
    </row>
    <row r="27" spans="1:36" ht="16.5" customHeight="1">
      <c r="A27" s="1070" t="s">
        <v>1008</v>
      </c>
      <c r="B27" s="666"/>
      <c r="C27" s="1360">
        <v>0</v>
      </c>
      <c r="D27" s="612"/>
      <c r="E27" s="1360"/>
      <c r="F27" s="612"/>
      <c r="G27" s="1360"/>
      <c r="H27" s="1432"/>
      <c r="I27" s="1360"/>
      <c r="J27" s="1432"/>
      <c r="K27" s="1360"/>
      <c r="L27" s="1433"/>
      <c r="M27" s="1360"/>
      <c r="N27" s="1433"/>
      <c r="O27" s="3832"/>
      <c r="P27" s="225"/>
      <c r="Q27" s="1360"/>
      <c r="R27" s="225"/>
      <c r="S27" s="1360"/>
      <c r="T27" s="225"/>
      <c r="U27" s="1360"/>
      <c r="V27" s="225"/>
      <c r="W27" s="1360"/>
      <c r="X27" s="225"/>
      <c r="Y27" s="1360"/>
      <c r="Z27" s="225"/>
      <c r="AA27" s="954"/>
      <c r="AB27" s="1628">
        <f t="shared" si="0"/>
        <v>0</v>
      </c>
      <c r="AC27" s="3110"/>
      <c r="AD27" s="3311"/>
      <c r="AE27" s="3832">
        <f>+'Exhibit F'!AF23+'Exhibit G'!AG17</f>
        <v>0</v>
      </c>
      <c r="AF27" s="3110"/>
      <c r="AG27" s="3110"/>
      <c r="AH27" s="889">
        <f>ROUND(SUM(+AB27-AE27),1)</f>
        <v>0</v>
      </c>
      <c r="AI27" s="3313"/>
      <c r="AJ27" s="1716">
        <f t="shared" si="1"/>
        <v>0</v>
      </c>
    </row>
    <row r="28" spans="1:36" ht="16.5" customHeight="1">
      <c r="A28" s="1070" t="s">
        <v>1009</v>
      </c>
      <c r="B28" s="666"/>
      <c r="C28" s="614">
        <f>'Exhibit F'!D24+'Exhibit H'!B16</f>
        <v>0</v>
      </c>
      <c r="D28" s="612"/>
      <c r="E28" s="614"/>
      <c r="F28" s="612"/>
      <c r="G28" s="614"/>
      <c r="H28" s="1432"/>
      <c r="I28" s="614"/>
      <c r="J28" s="1432"/>
      <c r="K28" s="614"/>
      <c r="L28" s="1433"/>
      <c r="M28" s="614"/>
      <c r="N28" s="1433"/>
      <c r="O28" s="1782"/>
      <c r="P28" s="225"/>
      <c r="Q28" s="614"/>
      <c r="R28" s="225"/>
      <c r="S28" s="614"/>
      <c r="T28" s="225"/>
      <c r="U28" s="614"/>
      <c r="V28" s="225"/>
      <c r="W28" s="614"/>
      <c r="X28" s="225"/>
      <c r="Y28" s="614"/>
      <c r="Z28" s="225"/>
      <c r="AA28" s="954"/>
      <c r="AB28" s="1628">
        <f t="shared" si="0"/>
        <v>0</v>
      </c>
      <c r="AC28" s="3110"/>
      <c r="AD28" s="3311"/>
      <c r="AE28" s="1782">
        <f>+'Exhibit F'!AF24+'Exhibit H'!AD16</f>
        <v>0</v>
      </c>
      <c r="AF28" s="3110"/>
      <c r="AG28" s="3110"/>
      <c r="AH28" s="889">
        <f>ROUND(SUM(+AB28-AE28),1)</f>
        <v>0</v>
      </c>
      <c r="AI28" s="3313"/>
      <c r="AJ28" s="1716">
        <f>ROUND(IF(AE28=0,0,AH28/ABS(AE28)),3)</f>
        <v>0</v>
      </c>
    </row>
    <row r="29" spans="1:36" ht="16.5" customHeight="1">
      <c r="A29" s="666" t="s">
        <v>1271</v>
      </c>
      <c r="B29" s="666"/>
      <c r="C29" s="361">
        <f>+'Exhibit F'!D25</f>
        <v>-1282.9000000000001</v>
      </c>
      <c r="D29" s="611"/>
      <c r="E29" s="361"/>
      <c r="F29" s="611"/>
      <c r="G29" s="361"/>
      <c r="H29" s="522"/>
      <c r="I29" s="361"/>
      <c r="J29" s="522"/>
      <c r="K29" s="361"/>
      <c r="L29" s="225"/>
      <c r="M29" s="361"/>
      <c r="N29" s="225"/>
      <c r="O29" s="3312"/>
      <c r="P29" s="225"/>
      <c r="Q29" s="361"/>
      <c r="R29" s="225"/>
      <c r="S29" s="361"/>
      <c r="T29" s="225"/>
      <c r="U29" s="361"/>
      <c r="V29" s="225"/>
      <c r="W29" s="361"/>
      <c r="X29" s="225"/>
      <c r="Y29" s="361"/>
      <c r="Z29" s="225"/>
      <c r="AA29" s="954"/>
      <c r="AB29" s="1628">
        <f t="shared" si="0"/>
        <v>-1282.9000000000001</v>
      </c>
      <c r="AC29" s="3110"/>
      <c r="AD29" s="3311"/>
      <c r="AE29" s="3312">
        <f>+'Exhibit F'!AF25</f>
        <v>-1709.4</v>
      </c>
      <c r="AF29" s="3110"/>
      <c r="AG29" s="3110"/>
      <c r="AH29" s="889">
        <f>-ROUND(SUM(+AB29-AE29),1)</f>
        <v>-426.5</v>
      </c>
      <c r="AI29" s="3313"/>
      <c r="AJ29" s="1716">
        <f t="shared" si="1"/>
        <v>-0.25</v>
      </c>
    </row>
    <row r="30" spans="1:36" ht="16.5" customHeight="1">
      <c r="A30" s="310" t="s">
        <v>1007</v>
      </c>
      <c r="B30" s="666"/>
      <c r="C30" s="880">
        <f>ROUND(SUM(C26)+SUM(C27)+SUM(C28)+SUM(C29),1)</f>
        <v>6525.8</v>
      </c>
      <c r="D30" s="26"/>
      <c r="E30" s="880">
        <f>ROUND(SUM(E26)+SUM(E27)+SUM(E28)+SUM(E29),1)</f>
        <v>0</v>
      </c>
      <c r="F30" s="26"/>
      <c r="G30" s="880">
        <f>ROUND(SUM(G26)+SUM(G27)+SUM(G28)+SUM(G29),1)</f>
        <v>0</v>
      </c>
      <c r="H30" s="225"/>
      <c r="I30" s="880">
        <f>ROUND(SUM(I26)+SUM(I27)+SUM(I28)+SUM(I29),1)</f>
        <v>0</v>
      </c>
      <c r="J30" s="225"/>
      <c r="K30" s="880">
        <f>ROUND(SUM(K26)+SUM(K27)+SUM(K28)+SUM(K29),1)</f>
        <v>0</v>
      </c>
      <c r="L30" s="225"/>
      <c r="M30" s="880">
        <f>ROUND(SUM(M26)+SUM(M27)+SUM(M28)+SUM(M29),1)</f>
        <v>0</v>
      </c>
      <c r="N30" s="225"/>
      <c r="O30" s="3116">
        <f>ROUND(SUM(O26)+SUM(O27)+SUM(O28)+SUM(O29),1)</f>
        <v>0</v>
      </c>
      <c r="P30" s="225"/>
      <c r="Q30" s="3116">
        <f>ROUND(SUM(Q26)+SUM(Q27)+SUM(Q28)+SUM(Q29),1)</f>
        <v>0</v>
      </c>
      <c r="R30" s="225"/>
      <c r="S30" s="880">
        <f>ROUND(SUM(S26)+SUM(S27)+SUM(S28)+SUM(S29),1)</f>
        <v>0</v>
      </c>
      <c r="T30" s="225"/>
      <c r="U30" s="880">
        <f>ROUND(SUM(U26)+SUM(U27)+SUM(U28)+SUM(U29),1)</f>
        <v>0</v>
      </c>
      <c r="V30" s="225"/>
      <c r="W30" s="880">
        <f>ROUND(SUM(W26)+SUM(W27)+SUM(W28)+SUM(W29),1)</f>
        <v>0</v>
      </c>
      <c r="X30" s="225"/>
      <c r="Y30" s="880">
        <f>ROUND(SUM(Y26)+SUM(Y27)+SUM(Y28)+SUM(Y29),1)</f>
        <v>0</v>
      </c>
      <c r="Z30" s="225"/>
      <c r="AA30" s="954"/>
      <c r="AB30" s="3115">
        <f t="shared" si="0"/>
        <v>6525.8</v>
      </c>
      <c r="AC30" s="3110"/>
      <c r="AD30" s="3311"/>
      <c r="AE30" s="3116">
        <f>ROUND(SUM(AE26)+SUM(AE27)+SUM(AE28)+SUM(AE29),1)</f>
        <v>2066.1999999999998</v>
      </c>
      <c r="AF30" s="3110"/>
      <c r="AG30" s="3110"/>
      <c r="AH30" s="1531">
        <f>ROUND(SUM(AH26+AH27+AH28-AH29),1)</f>
        <v>4459.6000000000004</v>
      </c>
      <c r="AI30" s="1018"/>
      <c r="AJ30" s="2189">
        <f t="shared" si="1"/>
        <v>2.1579999999999999</v>
      </c>
    </row>
    <row r="31" spans="1:36" ht="16.5" customHeight="1">
      <c r="A31" s="1045" t="s">
        <v>1059</v>
      </c>
      <c r="B31" s="670"/>
      <c r="C31" s="608"/>
      <c r="D31" s="608"/>
      <c r="E31" s="608"/>
      <c r="F31" s="608"/>
      <c r="G31" s="608"/>
      <c r="H31" s="225"/>
      <c r="I31" s="608"/>
      <c r="J31" s="225"/>
      <c r="K31" s="608"/>
      <c r="L31" s="225"/>
      <c r="M31" s="608"/>
      <c r="N31" s="225"/>
      <c r="O31" s="3396"/>
      <c r="P31" s="225"/>
      <c r="Q31" s="3396"/>
      <c r="R31" s="225"/>
      <c r="S31" s="608"/>
      <c r="T31" s="225"/>
      <c r="U31" s="608"/>
      <c r="V31" s="225"/>
      <c r="W31" s="608"/>
      <c r="X31" s="225"/>
      <c r="Y31" s="608"/>
      <c r="Z31" s="225"/>
      <c r="AA31" s="954"/>
      <c r="AB31" s="3110"/>
      <c r="AC31" s="3110"/>
      <c r="AD31" s="3311"/>
      <c r="AE31" s="3314"/>
      <c r="AF31" s="3110"/>
      <c r="AG31" s="3110"/>
      <c r="AH31" s="115"/>
      <c r="AI31" s="1018"/>
      <c r="AJ31" s="3315"/>
    </row>
    <row r="32" spans="1:36" ht="16.5" customHeight="1">
      <c r="A32" s="666" t="s">
        <v>1012</v>
      </c>
      <c r="B32" s="670"/>
      <c r="C32" s="361">
        <f>+'Exhibit F'!D28+'Exhibit G'!D20+'Exhibit H'!B19</f>
        <v>1297.4000000000001</v>
      </c>
      <c r="D32" s="611"/>
      <c r="E32" s="361"/>
      <c r="F32" s="611"/>
      <c r="G32" s="361"/>
      <c r="H32" s="522"/>
      <c r="I32" s="361"/>
      <c r="J32" s="522"/>
      <c r="K32" s="361"/>
      <c r="L32" s="225"/>
      <c r="M32" s="361"/>
      <c r="N32" s="225"/>
      <c r="O32" s="3312"/>
      <c r="P32" s="225"/>
      <c r="Q32" s="361"/>
      <c r="R32" s="225"/>
      <c r="S32" s="361"/>
      <c r="T32" s="225"/>
      <c r="U32" s="361"/>
      <c r="V32" s="225"/>
      <c r="W32" s="361"/>
      <c r="X32" s="225"/>
      <c r="Y32" s="361"/>
      <c r="Z32" s="225"/>
      <c r="AA32" s="954"/>
      <c r="AB32" s="1628">
        <f t="shared" ref="AB32:AB40" si="2">ROUND(SUM(C32:Y32),1)</f>
        <v>1297.4000000000001</v>
      </c>
      <c r="AC32" s="3110"/>
      <c r="AD32" s="3311"/>
      <c r="AE32" s="3312">
        <f>+'Exhibit F'!AF28+'Exhibit G'!AG20+'Exhibit H'!AD19</f>
        <v>869.4</v>
      </c>
      <c r="AF32" s="3110"/>
      <c r="AG32" s="3110"/>
      <c r="AH32" s="889">
        <f t="shared" ref="AH32:AH38" si="3">ROUND(SUM(+AB32-AE32),1)</f>
        <v>428</v>
      </c>
      <c r="AI32" s="1018"/>
      <c r="AJ32" s="1717">
        <f t="shared" ref="AJ32:AJ41" si="4">ROUND(IF(AE32=0,0,AH32/ABS(AE32)),3)</f>
        <v>0.49199999999999999</v>
      </c>
    </row>
    <row r="33" spans="1:36" ht="16.5" customHeight="1">
      <c r="A33" s="666" t="s">
        <v>1013</v>
      </c>
      <c r="B33" s="670"/>
      <c r="C33" s="361">
        <f>+'Exhibit F'!D29+'Exhibit G'!D21+'Exhibit I'!E20</f>
        <v>1.9000000000000001</v>
      </c>
      <c r="D33" s="611"/>
      <c r="E33" s="361"/>
      <c r="F33" s="611"/>
      <c r="G33" s="361"/>
      <c r="H33" s="522"/>
      <c r="I33" s="361"/>
      <c r="J33" s="522"/>
      <c r="K33" s="361"/>
      <c r="L33" s="225"/>
      <c r="M33" s="361"/>
      <c r="N33" s="225"/>
      <c r="O33" s="3312"/>
      <c r="P33" s="225"/>
      <c r="Q33" s="361"/>
      <c r="R33" s="225"/>
      <c r="S33" s="361"/>
      <c r="T33" s="225"/>
      <c r="U33" s="361"/>
      <c r="V33" s="225"/>
      <c r="W33" s="361"/>
      <c r="X33" s="225"/>
      <c r="Y33" s="361"/>
      <c r="Z33" s="225"/>
      <c r="AA33" s="954"/>
      <c r="AB33" s="1628">
        <f t="shared" si="2"/>
        <v>1.9</v>
      </c>
      <c r="AC33" s="3110"/>
      <c r="AD33" s="3311"/>
      <c r="AE33" s="3312">
        <f>+'Exhibit F'!AF29+'Exhibit G'!AG21+'Exhibit I'!AI20</f>
        <v>0.5</v>
      </c>
      <c r="AF33" s="3110"/>
      <c r="AG33" s="3110"/>
      <c r="AH33" s="889">
        <f t="shared" si="3"/>
        <v>1.4</v>
      </c>
      <c r="AI33" s="1018"/>
      <c r="AJ33" s="1717">
        <f t="shared" si="4"/>
        <v>2.8</v>
      </c>
    </row>
    <row r="34" spans="1:36" ht="16.5" customHeight="1">
      <c r="A34" s="666" t="s">
        <v>1014</v>
      </c>
      <c r="B34" s="666"/>
      <c r="C34" s="361">
        <f>+'Exhibit F'!D30+'Exhibit G'!D22</f>
        <v>98.300000000000011</v>
      </c>
      <c r="D34" s="611"/>
      <c r="E34" s="361"/>
      <c r="F34" s="611"/>
      <c r="G34" s="361"/>
      <c r="H34" s="522"/>
      <c r="I34" s="361"/>
      <c r="J34" s="522"/>
      <c r="K34" s="361"/>
      <c r="L34" s="225"/>
      <c r="M34" s="361"/>
      <c r="N34" s="225"/>
      <c r="O34" s="3312"/>
      <c r="P34" s="225"/>
      <c r="Q34" s="361"/>
      <c r="R34" s="225"/>
      <c r="S34" s="361"/>
      <c r="T34" s="225"/>
      <c r="U34" s="361"/>
      <c r="V34" s="225"/>
      <c r="W34" s="361"/>
      <c r="X34" s="225"/>
      <c r="Y34" s="361"/>
      <c r="Z34" s="225"/>
      <c r="AA34" s="954"/>
      <c r="AB34" s="1628">
        <f t="shared" si="2"/>
        <v>98.3</v>
      </c>
      <c r="AC34" s="3110"/>
      <c r="AD34" s="3311"/>
      <c r="AE34" s="3312">
        <f>+'Exhibit F'!AF30+'Exhibit G'!AG22</f>
        <v>98.8</v>
      </c>
      <c r="AF34" s="3110"/>
      <c r="AG34" s="3110"/>
      <c r="AH34" s="889">
        <f t="shared" si="3"/>
        <v>-0.5</v>
      </c>
      <c r="AI34" s="1018"/>
      <c r="AJ34" s="1717">
        <f t="shared" si="4"/>
        <v>-5.0000000000000001E-3</v>
      </c>
    </row>
    <row r="35" spans="1:36" ht="16.5" customHeight="1">
      <c r="A35" s="666" t="s">
        <v>1156</v>
      </c>
      <c r="B35" s="666"/>
      <c r="C35" s="361">
        <f>+'Exhibit G'!D23</f>
        <v>1.5</v>
      </c>
      <c r="D35" s="611"/>
      <c r="E35" s="361"/>
      <c r="F35" s="611"/>
      <c r="G35" s="361"/>
      <c r="H35" s="522"/>
      <c r="I35" s="361"/>
      <c r="J35" s="522"/>
      <c r="K35" s="361"/>
      <c r="L35" s="1525"/>
      <c r="M35" s="361"/>
      <c r="N35" s="1525"/>
      <c r="O35" s="3312"/>
      <c r="P35" s="1525"/>
      <c r="Q35" s="361"/>
      <c r="R35" s="1525"/>
      <c r="S35" s="361"/>
      <c r="T35" s="1525"/>
      <c r="U35" s="361"/>
      <c r="V35" s="1525"/>
      <c r="W35" s="361"/>
      <c r="X35" s="1525"/>
      <c r="Y35" s="361"/>
      <c r="Z35" s="1525"/>
      <c r="AA35" s="954"/>
      <c r="AB35" s="1628">
        <f>ROUND(SUM(C35:Y35),1)</f>
        <v>1.5</v>
      </c>
      <c r="AC35" s="3110"/>
      <c r="AD35" s="3311"/>
      <c r="AE35" s="3312">
        <f>'Exhibit G'!AG23</f>
        <v>0.5</v>
      </c>
      <c r="AF35" s="3110"/>
      <c r="AG35" s="3110"/>
      <c r="AH35" s="889">
        <f>ROUND(SUM(+AB35-AE35),1)</f>
        <v>1</v>
      </c>
      <c r="AI35" s="1018"/>
      <c r="AJ35" s="1717">
        <f>ROUND(IF(AE35=0,0,AH35/ABS(AE35)),3)</f>
        <v>2</v>
      </c>
    </row>
    <row r="36" spans="1:36" ht="16.5" customHeight="1">
      <c r="A36" s="666" t="s">
        <v>1015</v>
      </c>
      <c r="B36" s="666"/>
      <c r="C36" s="361">
        <f>+'Exhibit F'!D31+'Exhibit G'!D24+'Exhibit I'!E21</f>
        <v>34.1</v>
      </c>
      <c r="D36" s="611"/>
      <c r="E36" s="361"/>
      <c r="F36" s="611"/>
      <c r="G36" s="361"/>
      <c r="H36" s="522"/>
      <c r="I36" s="361"/>
      <c r="J36" s="522"/>
      <c r="K36" s="361"/>
      <c r="L36" s="225"/>
      <c r="M36" s="361"/>
      <c r="N36" s="225"/>
      <c r="O36" s="3312"/>
      <c r="P36" s="225"/>
      <c r="Q36" s="361"/>
      <c r="R36" s="225"/>
      <c r="S36" s="361"/>
      <c r="T36" s="225"/>
      <c r="U36" s="361"/>
      <c r="V36" s="225"/>
      <c r="W36" s="361"/>
      <c r="X36" s="225"/>
      <c r="Y36" s="361"/>
      <c r="Z36" s="225"/>
      <c r="AA36" s="954"/>
      <c r="AB36" s="1628">
        <f t="shared" si="2"/>
        <v>34.1</v>
      </c>
      <c r="AC36" s="3110"/>
      <c r="AD36" s="3311"/>
      <c r="AE36" s="3312">
        <f>+'Exhibit F'!AF31+'Exhibit G'!AG24+'Exhibit I'!AI21</f>
        <v>30.299999999999997</v>
      </c>
      <c r="AF36" s="3110"/>
      <c r="AG36" s="3110"/>
      <c r="AH36" s="889">
        <f t="shared" si="3"/>
        <v>3.8</v>
      </c>
      <c r="AI36" s="1018"/>
      <c r="AJ36" s="1717">
        <f t="shared" si="4"/>
        <v>0.125</v>
      </c>
    </row>
    <row r="37" spans="1:36" ht="16.5" customHeight="1">
      <c r="A37" s="666" t="s">
        <v>1016</v>
      </c>
      <c r="B37" s="666"/>
      <c r="C37" s="361">
        <f>+'Exhibit F'!D32+'Exhibit G'!D25</f>
        <v>23</v>
      </c>
      <c r="D37" s="611"/>
      <c r="E37" s="361"/>
      <c r="F37" s="611"/>
      <c r="G37" s="361"/>
      <c r="H37" s="522"/>
      <c r="I37" s="361"/>
      <c r="J37" s="522"/>
      <c r="K37" s="361"/>
      <c r="L37" s="225"/>
      <c r="M37" s="361"/>
      <c r="N37" s="225"/>
      <c r="O37" s="3312"/>
      <c r="P37" s="225"/>
      <c r="Q37" s="361"/>
      <c r="R37" s="225"/>
      <c r="S37" s="361"/>
      <c r="T37" s="225"/>
      <c r="U37" s="361"/>
      <c r="V37" s="225"/>
      <c r="W37" s="361"/>
      <c r="X37" s="225"/>
      <c r="Y37" s="361"/>
      <c r="Z37" s="225"/>
      <c r="AA37" s="954"/>
      <c r="AB37" s="1628">
        <f t="shared" si="2"/>
        <v>23</v>
      </c>
      <c r="AC37" s="3110"/>
      <c r="AD37" s="3311"/>
      <c r="AE37" s="3312">
        <f>+'Exhibit F'!AF32+'Exhibit G'!AG25</f>
        <v>26.7</v>
      </c>
      <c r="AF37" s="3110"/>
      <c r="AG37" s="3110"/>
      <c r="AH37" s="889">
        <f t="shared" si="3"/>
        <v>-3.7</v>
      </c>
      <c r="AI37" s="1018"/>
      <c r="AJ37" s="1717">
        <f t="shared" si="4"/>
        <v>-0.13900000000000001</v>
      </c>
    </row>
    <row r="38" spans="1:36" ht="16.5" customHeight="1">
      <c r="A38" s="666" t="s">
        <v>1017</v>
      </c>
      <c r="B38" s="666"/>
      <c r="C38" s="361">
        <f>+'Exhibit F'!D33+'Exhibit G'!D26+'Exhibit I'!E22</f>
        <v>14.6</v>
      </c>
      <c r="D38" s="611"/>
      <c r="E38" s="361"/>
      <c r="F38" s="611"/>
      <c r="G38" s="361"/>
      <c r="H38" s="522"/>
      <c r="I38" s="361"/>
      <c r="J38" s="522"/>
      <c r="K38" s="361"/>
      <c r="L38" s="225"/>
      <c r="M38" s="361"/>
      <c r="N38" s="225"/>
      <c r="O38" s="3312"/>
      <c r="P38" s="225"/>
      <c r="Q38" s="361"/>
      <c r="R38" s="225"/>
      <c r="S38" s="361"/>
      <c r="T38" s="225"/>
      <c r="U38" s="361"/>
      <c r="V38" s="225"/>
      <c r="W38" s="361"/>
      <c r="X38" s="225"/>
      <c r="Y38" s="361"/>
      <c r="Z38" s="225"/>
      <c r="AA38" s="954"/>
      <c r="AB38" s="1628">
        <f t="shared" si="2"/>
        <v>14.6</v>
      </c>
      <c r="AC38" s="3110"/>
      <c r="AD38" s="3311"/>
      <c r="AE38" s="3312">
        <f>+'Exhibit F'!AF33+'Exhibit G'!AG26+'Exhibit I'!AI22</f>
        <v>11.6</v>
      </c>
      <c r="AF38" s="3110"/>
      <c r="AG38" s="3110"/>
      <c r="AH38" s="889">
        <f t="shared" si="3"/>
        <v>3</v>
      </c>
      <c r="AI38" s="1018"/>
      <c r="AJ38" s="3316">
        <f t="shared" si="4"/>
        <v>0.25900000000000001</v>
      </c>
    </row>
    <row r="39" spans="1:36" ht="16.5" customHeight="1">
      <c r="A39" s="666" t="s">
        <v>1352</v>
      </c>
      <c r="B39" s="666"/>
      <c r="C39" s="361">
        <f>'Exhibit F'!D34+'Exhibit G'!D27</f>
        <v>0.2</v>
      </c>
      <c r="D39" s="611"/>
      <c r="E39" s="361"/>
      <c r="F39" s="611"/>
      <c r="G39" s="361"/>
      <c r="H39" s="522"/>
      <c r="I39" s="361"/>
      <c r="J39" s="522"/>
      <c r="K39" s="361"/>
      <c r="L39" s="1525"/>
      <c r="M39" s="361"/>
      <c r="N39" s="1525"/>
      <c r="O39" s="3312"/>
      <c r="P39" s="1525"/>
      <c r="Q39" s="361"/>
      <c r="R39" s="1525"/>
      <c r="S39" s="361"/>
      <c r="T39" s="1525"/>
      <c r="U39" s="361"/>
      <c r="V39" s="1525"/>
      <c r="W39" s="361"/>
      <c r="X39" s="1525"/>
      <c r="Y39" s="361"/>
      <c r="Z39" s="1525"/>
      <c r="AA39" s="954"/>
      <c r="AB39" s="1628">
        <f>ROUND(SUM(C39:Y39),1)</f>
        <v>0.2</v>
      </c>
      <c r="AC39" s="3110"/>
      <c r="AD39" s="3311"/>
      <c r="AE39" s="3312">
        <f>+'Exhibit F'!AF34+'Exhibit G'!AG27</f>
        <v>0</v>
      </c>
      <c r="AF39" s="3110"/>
      <c r="AG39" s="3110"/>
      <c r="AH39" s="889">
        <f>ROUND(SUM(+AB39-AE39),1)</f>
        <v>0.2</v>
      </c>
      <c r="AI39" s="1018"/>
      <c r="AJ39" s="3316">
        <f>ROUND(IF(AE39=0,1,AH39/ABS(AE39)),3)</f>
        <v>1</v>
      </c>
    </row>
    <row r="40" spans="1:36" ht="16.5" customHeight="1">
      <c r="A40" s="666" t="s">
        <v>1354</v>
      </c>
      <c r="B40" s="666"/>
      <c r="C40" s="361">
        <f>'Exhibit F'!D35</f>
        <v>6.7</v>
      </c>
      <c r="D40" s="611"/>
      <c r="E40" s="361"/>
      <c r="F40" s="611"/>
      <c r="G40" s="361"/>
      <c r="H40" s="522"/>
      <c r="I40" s="361"/>
      <c r="J40" s="522"/>
      <c r="K40" s="361"/>
      <c r="L40" s="1525"/>
      <c r="M40" s="361"/>
      <c r="N40" s="1525"/>
      <c r="O40" s="3312"/>
      <c r="P40" s="1525"/>
      <c r="Q40" s="361"/>
      <c r="R40" s="1525"/>
      <c r="S40" s="361"/>
      <c r="T40" s="1525"/>
      <c r="U40" s="361"/>
      <c r="V40" s="1525"/>
      <c r="W40" s="361"/>
      <c r="X40" s="1525"/>
      <c r="Y40" s="361"/>
      <c r="Z40" s="1525"/>
      <c r="AA40" s="521"/>
      <c r="AB40" s="1628">
        <f t="shared" si="2"/>
        <v>6.7</v>
      </c>
      <c r="AC40" s="3110"/>
      <c r="AD40" s="3311"/>
      <c r="AE40" s="3312">
        <f>+'Exhibit F'!AF35</f>
        <v>7.2</v>
      </c>
      <c r="AF40" s="3110"/>
      <c r="AG40" s="3110"/>
      <c r="AH40" s="889">
        <f t="shared" ref="AH40" si="5">ROUND(SUM(+AB40-AE40),1)</f>
        <v>-0.5</v>
      </c>
      <c r="AI40" s="1018"/>
      <c r="AJ40" s="3316">
        <f>ROUND(IF(AE40=0,1,AH40/ABS(AE40)),3)</f>
        <v>-6.9000000000000006E-2</v>
      </c>
    </row>
    <row r="41" spans="1:36" ht="16.5" customHeight="1">
      <c r="A41" s="310" t="s">
        <v>1011</v>
      </c>
      <c r="B41" s="666"/>
      <c r="C41" s="880">
        <f>ROUND(SUM(C32:C40),1)</f>
        <v>1477.7</v>
      </c>
      <c r="D41" s="26"/>
      <c r="E41" s="880">
        <f>ROUND(SUM(E32:E40),1)</f>
        <v>0</v>
      </c>
      <c r="F41" s="26"/>
      <c r="G41" s="880">
        <f>ROUND(SUM(G32:G40),1)</f>
        <v>0</v>
      </c>
      <c r="H41" s="225"/>
      <c r="I41" s="880">
        <f>ROUND(SUM(I32:I40),1)</f>
        <v>0</v>
      </c>
      <c r="J41" s="225"/>
      <c r="K41" s="880">
        <f>ROUND(SUM(K32:K40),1)</f>
        <v>0</v>
      </c>
      <c r="L41" s="225"/>
      <c r="M41" s="880">
        <f>ROUND(SUM(M32:M40),1)</f>
        <v>0</v>
      </c>
      <c r="N41" s="225"/>
      <c r="O41" s="3116">
        <f>ROUND(SUM(O32:O40),1)</f>
        <v>0</v>
      </c>
      <c r="P41" s="225"/>
      <c r="Q41" s="3116">
        <f>ROUND(SUM(Q32:Q40),1)</f>
        <v>0</v>
      </c>
      <c r="R41" s="225"/>
      <c r="S41" s="880">
        <f>ROUND(SUM(S32:S40),1)</f>
        <v>0</v>
      </c>
      <c r="T41" s="225"/>
      <c r="U41" s="880">
        <f>ROUND(SUM(U32:U40),1)</f>
        <v>0</v>
      </c>
      <c r="V41" s="225"/>
      <c r="W41" s="880">
        <f>ROUND(SUM(W32:W40),1)</f>
        <v>0</v>
      </c>
      <c r="X41" s="225"/>
      <c r="Y41" s="880">
        <f>ROUND(SUM(Y32:Y40),1)</f>
        <v>0</v>
      </c>
      <c r="Z41" s="225"/>
      <c r="AA41" s="954"/>
      <c r="AB41" s="3116">
        <f>ROUND(SUM(AB32:AB40),1)</f>
        <v>1477.7</v>
      </c>
      <c r="AC41" s="3110"/>
      <c r="AD41" s="3311"/>
      <c r="AE41" s="3116">
        <f>ROUND(SUM(AE32:AE40),1)</f>
        <v>1045</v>
      </c>
      <c r="AF41" s="3110"/>
      <c r="AG41" s="3110"/>
      <c r="AH41" s="1531">
        <f>ROUND(SUM(AH32:AH40),1)</f>
        <v>432.7</v>
      </c>
      <c r="AI41" s="115"/>
      <c r="AJ41" s="3317">
        <f t="shared" si="4"/>
        <v>0.41399999999999998</v>
      </c>
    </row>
    <row r="42" spans="1:36" ht="16.5" customHeight="1">
      <c r="A42" s="1045" t="s">
        <v>1060</v>
      </c>
      <c r="B42" s="666"/>
      <c r="C42" s="608"/>
      <c r="D42" s="608"/>
      <c r="E42" s="608"/>
      <c r="F42" s="608"/>
      <c r="G42" s="608"/>
      <c r="H42" s="225"/>
      <c r="I42" s="608"/>
      <c r="J42" s="225"/>
      <c r="K42" s="608"/>
      <c r="L42" s="225"/>
      <c r="M42" s="608"/>
      <c r="N42" s="225"/>
      <c r="O42" s="3396"/>
      <c r="P42" s="225"/>
      <c r="Q42" s="3396"/>
      <c r="R42" s="225"/>
      <c r="S42" s="608"/>
      <c r="T42" s="225"/>
      <c r="U42" s="608"/>
      <c r="V42" s="225"/>
      <c r="W42" s="608"/>
      <c r="X42" s="225"/>
      <c r="Y42" s="608"/>
      <c r="Z42" s="225"/>
      <c r="AA42" s="954"/>
      <c r="AB42" s="3110"/>
      <c r="AC42" s="3110"/>
      <c r="AD42" s="3311"/>
      <c r="AE42" s="3314"/>
      <c r="AF42" s="3110"/>
      <c r="AG42" s="3110"/>
      <c r="AH42" s="115"/>
      <c r="AI42" s="115"/>
      <c r="AJ42" s="3315"/>
    </row>
    <row r="43" spans="1:36" ht="16.5" customHeight="1">
      <c r="A43" s="666" t="s">
        <v>1019</v>
      </c>
      <c r="B43" s="666"/>
      <c r="C43" s="361">
        <f>+'Exhibit F'!D38+'Exhibit G'!D30+'Exhibit I'!E25</f>
        <v>768.4</v>
      </c>
      <c r="D43" s="611"/>
      <c r="E43" s="361"/>
      <c r="F43" s="611"/>
      <c r="G43" s="361"/>
      <c r="H43" s="522"/>
      <c r="I43" s="361"/>
      <c r="J43" s="522"/>
      <c r="K43" s="361"/>
      <c r="L43" s="225"/>
      <c r="M43" s="361"/>
      <c r="N43" s="225"/>
      <c r="O43" s="3312"/>
      <c r="P43" s="225"/>
      <c r="Q43" s="361"/>
      <c r="R43" s="225"/>
      <c r="S43" s="361"/>
      <c r="T43" s="225"/>
      <c r="U43" s="361"/>
      <c r="V43" s="225"/>
      <c r="W43" s="361"/>
      <c r="X43" s="225"/>
      <c r="Y43" s="361"/>
      <c r="Z43" s="225"/>
      <c r="AA43" s="954"/>
      <c r="AB43" s="1628">
        <f>ROUND(SUM(C43:Y43),1)</f>
        <v>768.4</v>
      </c>
      <c r="AC43" s="3110"/>
      <c r="AD43" s="3311"/>
      <c r="AE43" s="3312">
        <f>+'Exhibit F'!AF38+'Exhibit G'!AG30+'Exhibit I'!AI25</f>
        <v>254.4</v>
      </c>
      <c r="AF43" s="3110"/>
      <c r="AG43" s="3110"/>
      <c r="AH43" s="889">
        <f>ROUND(SUM(+AB43-AE43),1)</f>
        <v>514</v>
      </c>
      <c r="AI43" s="115"/>
      <c r="AJ43" s="1717">
        <f t="shared" ref="AJ43:AJ48" si="6">ROUND(IF(AE43=0,0,AH43/ABS(AE43)),3)</f>
        <v>2.02</v>
      </c>
    </row>
    <row r="44" spans="1:36" ht="16.5" customHeight="1">
      <c r="A44" s="666" t="s">
        <v>1020</v>
      </c>
      <c r="B44" s="666"/>
      <c r="C44" s="361">
        <f>+'Exhibit F'!D39+'Exhibit G'!D31+'Exhibit I'!E26</f>
        <v>51.000000000000007</v>
      </c>
      <c r="D44" s="611"/>
      <c r="E44" s="361"/>
      <c r="F44" s="611"/>
      <c r="G44" s="361"/>
      <c r="H44" s="522"/>
      <c r="I44" s="361"/>
      <c r="J44" s="522"/>
      <c r="K44" s="361"/>
      <c r="L44" s="225"/>
      <c r="M44" s="361"/>
      <c r="N44" s="225"/>
      <c r="O44" s="3312"/>
      <c r="P44" s="225"/>
      <c r="Q44" s="361"/>
      <c r="R44" s="225"/>
      <c r="S44" s="361"/>
      <c r="T44" s="225"/>
      <c r="U44" s="361"/>
      <c r="V44" s="225"/>
      <c r="W44" s="361"/>
      <c r="X44" s="225"/>
      <c r="Y44" s="361"/>
      <c r="Z44" s="225"/>
      <c r="AA44" s="954"/>
      <c r="AB44" s="1628">
        <f>ROUND(SUM(C44:Y44),1)</f>
        <v>51</v>
      </c>
      <c r="AC44" s="3110"/>
      <c r="AD44" s="3311"/>
      <c r="AE44" s="3312">
        <f>+'Exhibit F'!AF39+'Exhibit G'!AG31+'Exhibit I'!AI26</f>
        <v>15.6</v>
      </c>
      <c r="AF44" s="3110"/>
      <c r="AG44" s="3110"/>
      <c r="AH44" s="889">
        <f>ROUND(SUM(+AB44-AE44),1)</f>
        <v>35.4</v>
      </c>
      <c r="AI44" s="115"/>
      <c r="AJ44" s="1717">
        <f t="shared" si="6"/>
        <v>2.2690000000000001</v>
      </c>
    </row>
    <row r="45" spans="1:36" ht="16.5" customHeight="1">
      <c r="A45" s="666" t="s">
        <v>1021</v>
      </c>
      <c r="B45" s="666"/>
      <c r="C45" s="361">
        <f>+'Exhibit F'!D40+'Exhibit G'!D32</f>
        <v>64.2</v>
      </c>
      <c r="D45" s="611"/>
      <c r="E45" s="361"/>
      <c r="F45" s="611"/>
      <c r="G45" s="361"/>
      <c r="H45" s="522"/>
      <c r="I45" s="361"/>
      <c r="J45" s="522"/>
      <c r="K45" s="361"/>
      <c r="L45" s="225"/>
      <c r="M45" s="361"/>
      <c r="N45" s="225"/>
      <c r="O45" s="3312"/>
      <c r="P45" s="225"/>
      <c r="Q45" s="361"/>
      <c r="R45" s="225"/>
      <c r="S45" s="361"/>
      <c r="T45" s="225"/>
      <c r="U45" s="361"/>
      <c r="V45" s="225"/>
      <c r="W45" s="361"/>
      <c r="X45" s="225"/>
      <c r="Y45" s="361"/>
      <c r="Z45" s="225"/>
      <c r="AA45" s="954"/>
      <c r="AB45" s="1628">
        <f>ROUND(SUM(C45:Y45),1)</f>
        <v>64.2</v>
      </c>
      <c r="AC45" s="3110"/>
      <c r="AD45" s="3311"/>
      <c r="AE45" s="3312">
        <f>+'Exhibit F'!AF40+'Exhibit G'!AG32</f>
        <v>70.2</v>
      </c>
      <c r="AF45" s="3110"/>
      <c r="AG45" s="3110"/>
      <c r="AH45" s="889">
        <f>ROUND(SUM(+AB45-AE45),1)</f>
        <v>-6</v>
      </c>
      <c r="AI45" s="115"/>
      <c r="AJ45" s="1717">
        <f t="shared" si="6"/>
        <v>-8.5000000000000006E-2</v>
      </c>
    </row>
    <row r="46" spans="1:36" ht="16.5" customHeight="1">
      <c r="A46" s="666" t="s">
        <v>1022</v>
      </c>
      <c r="B46" s="666"/>
      <c r="C46" s="361">
        <f>+'Exhibit F'!D41+'Exhibit G'!D33</f>
        <v>17.3</v>
      </c>
      <c r="D46" s="611"/>
      <c r="E46" s="361"/>
      <c r="F46" s="611"/>
      <c r="G46" s="361"/>
      <c r="H46" s="522"/>
      <c r="I46" s="361"/>
      <c r="J46" s="522"/>
      <c r="K46" s="361"/>
      <c r="L46" s="225"/>
      <c r="M46" s="361"/>
      <c r="N46" s="225"/>
      <c r="O46" s="3312"/>
      <c r="P46" s="225"/>
      <c r="Q46" s="361"/>
      <c r="R46" s="225"/>
      <c r="S46" s="361"/>
      <c r="T46" s="225"/>
      <c r="U46" s="361"/>
      <c r="V46" s="225"/>
      <c r="W46" s="361"/>
      <c r="X46" s="225"/>
      <c r="Y46" s="361"/>
      <c r="Z46" s="225"/>
      <c r="AA46" s="954"/>
      <c r="AB46" s="1628">
        <f>ROUND(SUM(C46:Y46),1)</f>
        <v>17.3</v>
      </c>
      <c r="AC46" s="3110"/>
      <c r="AD46" s="3311"/>
      <c r="AE46" s="3312">
        <f>+'Exhibit F'!AF41+'Exhibit G'!AG33</f>
        <v>7.3999999999999995</v>
      </c>
      <c r="AF46" s="3110"/>
      <c r="AG46" s="3110"/>
      <c r="AH46" s="889">
        <f>ROUND(SUM(+AB46-AE46),1)</f>
        <v>9.9</v>
      </c>
      <c r="AI46" s="115"/>
      <c r="AJ46" s="1721">
        <f>ROUND(IF(AE46=0,0,AH46/ABS(AE46)),3)</f>
        <v>1.3380000000000001</v>
      </c>
    </row>
    <row r="47" spans="1:36" ht="16.5" customHeight="1">
      <c r="A47" s="666" t="s">
        <v>1023</v>
      </c>
      <c r="B47" s="666"/>
      <c r="C47" s="361">
        <f>+'Exhibit F'!D42+'Exhibit G'!D34+'Exhibit I'!E27</f>
        <v>68.900000000000006</v>
      </c>
      <c r="D47" s="611"/>
      <c r="E47" s="361"/>
      <c r="F47" s="611"/>
      <c r="G47" s="361"/>
      <c r="H47" s="522"/>
      <c r="I47" s="361"/>
      <c r="J47" s="522"/>
      <c r="K47" s="361"/>
      <c r="L47" s="225"/>
      <c r="M47" s="361"/>
      <c r="N47" s="225"/>
      <c r="O47" s="3312"/>
      <c r="P47" s="225"/>
      <c r="Q47" s="361"/>
      <c r="R47" s="225"/>
      <c r="S47" s="361"/>
      <c r="T47" s="225"/>
      <c r="U47" s="361"/>
      <c r="V47" s="225"/>
      <c r="W47" s="361"/>
      <c r="X47" s="225"/>
      <c r="Y47" s="361"/>
      <c r="Z47" s="225"/>
      <c r="AA47" s="954"/>
      <c r="AB47" s="1628">
        <f>ROUND(SUM(C47:Y47),1)</f>
        <v>68.900000000000006</v>
      </c>
      <c r="AC47" s="3110"/>
      <c r="AD47" s="3311"/>
      <c r="AE47" s="3312">
        <f>+'Exhibit F'!AF42+'Exhibit G'!AG34+'Exhibit I'!AI27</f>
        <v>68.3</v>
      </c>
      <c r="AF47" s="3110"/>
      <c r="AG47" s="3110"/>
      <c r="AH47" s="889">
        <f>ROUND(SUM(+AB47-AE47),1)</f>
        <v>0.6</v>
      </c>
      <c r="AI47" s="115"/>
      <c r="AJ47" s="1717">
        <f t="shared" si="6"/>
        <v>8.9999999999999993E-3</v>
      </c>
    </row>
    <row r="48" spans="1:36" ht="16.5" customHeight="1">
      <c r="A48" s="310" t="s">
        <v>1018</v>
      </c>
      <c r="B48" s="666"/>
      <c r="C48" s="880">
        <f>ROUND(SUM(C43:C47),1)</f>
        <v>969.8</v>
      </c>
      <c r="D48" s="26"/>
      <c r="E48" s="880">
        <f>ROUND(SUM(E43:E47),1)</f>
        <v>0</v>
      </c>
      <c r="F48" s="26"/>
      <c r="G48" s="880">
        <f>ROUND(SUM(G43:G47),1)</f>
        <v>0</v>
      </c>
      <c r="H48" s="225"/>
      <c r="I48" s="880">
        <f>ROUND(SUM(I43:I47),1)</f>
        <v>0</v>
      </c>
      <c r="J48" s="225"/>
      <c r="K48" s="880">
        <f>ROUND(SUM(K43:K47),1)</f>
        <v>0</v>
      </c>
      <c r="L48" s="225"/>
      <c r="M48" s="880">
        <f>ROUND(SUM(M43:M47),1)</f>
        <v>0</v>
      </c>
      <c r="N48" s="225"/>
      <c r="O48" s="3116">
        <f>ROUND(SUM(O43:O47),1)</f>
        <v>0</v>
      </c>
      <c r="P48" s="225"/>
      <c r="Q48" s="3116">
        <f>ROUND(SUM(Q43:Q47),1)</f>
        <v>0</v>
      </c>
      <c r="R48" s="225"/>
      <c r="S48" s="880">
        <f>ROUND(SUM(S43:S47),1)</f>
        <v>0</v>
      </c>
      <c r="T48" s="225"/>
      <c r="U48" s="880">
        <f>ROUND(SUM(U43:U47),1)</f>
        <v>0</v>
      </c>
      <c r="V48" s="225"/>
      <c r="W48" s="880">
        <f>ROUND(SUM(W43:W47),1)</f>
        <v>0</v>
      </c>
      <c r="X48" s="225"/>
      <c r="Y48" s="880">
        <f>ROUND(SUM(Y43:Y47),1)</f>
        <v>0</v>
      </c>
      <c r="Z48" s="225"/>
      <c r="AA48" s="954"/>
      <c r="AB48" s="3116">
        <f>ROUND(SUM(AB43:AB47),1)</f>
        <v>969.8</v>
      </c>
      <c r="AC48" s="3110"/>
      <c r="AD48" s="3311"/>
      <c r="AE48" s="3116">
        <f>ROUND(SUM(AE43:AE47),1)</f>
        <v>415.9</v>
      </c>
      <c r="AF48" s="3110"/>
      <c r="AG48" s="3110"/>
      <c r="AH48" s="3116">
        <f>ROUND(SUM(AH43:AH47),1)</f>
        <v>553.9</v>
      </c>
      <c r="AI48" s="115"/>
      <c r="AJ48" s="3317">
        <f t="shared" si="6"/>
        <v>1.3320000000000001</v>
      </c>
    </row>
    <row r="49" spans="1:36" ht="16.5" customHeight="1">
      <c r="A49" s="1045" t="s">
        <v>1061</v>
      </c>
      <c r="B49" s="666"/>
      <c r="C49" s="608"/>
      <c r="D49" s="608"/>
      <c r="E49" s="608"/>
      <c r="F49" s="608"/>
      <c r="G49" s="608"/>
      <c r="H49" s="225"/>
      <c r="I49" s="608"/>
      <c r="J49" s="225"/>
      <c r="K49" s="608"/>
      <c r="L49" s="225"/>
      <c r="M49" s="608"/>
      <c r="N49" s="225"/>
      <c r="O49" s="3396"/>
      <c r="P49" s="225"/>
      <c r="Q49" s="3396"/>
      <c r="R49" s="225"/>
      <c r="S49" s="608"/>
      <c r="T49" s="225"/>
      <c r="U49" s="608"/>
      <c r="V49" s="225"/>
      <c r="W49" s="608"/>
      <c r="X49" s="225"/>
      <c r="Y49" s="608"/>
      <c r="Z49" s="225"/>
      <c r="AA49" s="954"/>
      <c r="AB49" s="3110"/>
      <c r="AC49" s="3110"/>
      <c r="AD49" s="3311"/>
      <c r="AE49" s="3314"/>
      <c r="AF49" s="3110"/>
      <c r="AG49" s="3110"/>
      <c r="AH49" s="115"/>
      <c r="AI49" s="115"/>
      <c r="AJ49" s="3315"/>
    </row>
    <row r="50" spans="1:36" ht="16.5" customHeight="1">
      <c r="A50" s="666" t="s">
        <v>1026</v>
      </c>
      <c r="B50" s="666"/>
      <c r="C50" s="1359">
        <f>+'Exhibit F'!D45</f>
        <v>0</v>
      </c>
      <c r="D50" s="611"/>
      <c r="E50" s="1359"/>
      <c r="F50" s="611"/>
      <c r="G50" s="1359"/>
      <c r="H50" s="522"/>
      <c r="I50" s="1359"/>
      <c r="J50" s="522"/>
      <c r="K50" s="1359"/>
      <c r="L50" s="225"/>
      <c r="M50" s="1359"/>
      <c r="N50" s="225"/>
      <c r="O50" s="1781"/>
      <c r="P50" s="225"/>
      <c r="Q50" s="1359"/>
      <c r="R50" s="225"/>
      <c r="S50" s="1359"/>
      <c r="T50" s="225"/>
      <c r="U50" s="1359"/>
      <c r="V50" s="225"/>
      <c r="W50" s="1359"/>
      <c r="X50" s="225"/>
      <c r="Y50" s="1359"/>
      <c r="Z50" s="225"/>
      <c r="AA50" s="954"/>
      <c r="AB50" s="1628">
        <f t="shared" ref="AB50:AB54" si="7">ROUND(SUM(C50:Y50),1)</f>
        <v>0</v>
      </c>
      <c r="AC50" s="3110"/>
      <c r="AD50" s="3311"/>
      <c r="AE50" s="1781">
        <f>+'Exhibit F'!AF45</f>
        <v>0</v>
      </c>
      <c r="AF50" s="3088"/>
      <c r="AG50" s="3088"/>
      <c r="AH50" s="1992">
        <f t="shared" ref="AH50:AH54" si="8">ROUND(SUM(+AB50-AE50),1)</f>
        <v>0</v>
      </c>
      <c r="AI50" s="1455"/>
      <c r="AJ50" s="1716">
        <f>-ROUND(IF(AE50=0,0,AH50/ABS(AE50)),3)</f>
        <v>0</v>
      </c>
    </row>
    <row r="51" spans="1:36" ht="16.5" customHeight="1">
      <c r="A51" s="666" t="s">
        <v>1027</v>
      </c>
      <c r="B51" s="666"/>
      <c r="C51" s="361">
        <f>+'Exhibit F'!D46</f>
        <v>119.8</v>
      </c>
      <c r="D51" s="611"/>
      <c r="E51" s="361"/>
      <c r="F51" s="611"/>
      <c r="G51" s="361"/>
      <c r="H51" s="522"/>
      <c r="I51" s="361"/>
      <c r="J51" s="522"/>
      <c r="K51" s="361"/>
      <c r="L51" s="522"/>
      <c r="M51" s="361"/>
      <c r="N51" s="225"/>
      <c r="O51" s="3312"/>
      <c r="P51" s="225"/>
      <c r="Q51" s="361"/>
      <c r="R51" s="225"/>
      <c r="S51" s="361"/>
      <c r="T51" s="225"/>
      <c r="U51" s="361"/>
      <c r="V51" s="225"/>
      <c r="W51" s="361"/>
      <c r="X51" s="225"/>
      <c r="Y51" s="361"/>
      <c r="Z51" s="225"/>
      <c r="AA51" s="954"/>
      <c r="AB51" s="1628">
        <f t="shared" si="7"/>
        <v>119.8</v>
      </c>
      <c r="AC51" s="3110"/>
      <c r="AD51" s="3311"/>
      <c r="AE51" s="3312">
        <f>+'Exhibit F'!AF46</f>
        <v>72.7</v>
      </c>
      <c r="AF51" s="3110"/>
      <c r="AG51" s="3110"/>
      <c r="AH51" s="889">
        <f t="shared" si="8"/>
        <v>47.1</v>
      </c>
      <c r="AI51" s="115"/>
      <c r="AJ51" s="1717">
        <f t="shared" ref="AJ51:AJ56" si="9">ROUND(IF(AE51=0,0,AH51/ABS(AE51)),3)</f>
        <v>0.64800000000000002</v>
      </c>
    </row>
    <row r="52" spans="1:36" ht="16.5" customHeight="1">
      <c r="A52" s="666" t="s">
        <v>1028</v>
      </c>
      <c r="B52" s="666"/>
      <c r="C52" s="361">
        <f>+'Exhibit F'!D47</f>
        <v>1.3</v>
      </c>
      <c r="D52" s="611"/>
      <c r="E52" s="361"/>
      <c r="F52" s="611"/>
      <c r="G52" s="361"/>
      <c r="H52" s="522"/>
      <c r="I52" s="361"/>
      <c r="J52" s="522"/>
      <c r="K52" s="361"/>
      <c r="L52" s="522"/>
      <c r="M52" s="361"/>
      <c r="N52" s="225"/>
      <c r="O52" s="3312"/>
      <c r="P52" s="225"/>
      <c r="Q52" s="361"/>
      <c r="R52" s="225"/>
      <c r="S52" s="361"/>
      <c r="T52" s="225"/>
      <c r="U52" s="361"/>
      <c r="V52" s="225"/>
      <c r="W52" s="361"/>
      <c r="X52" s="225"/>
      <c r="Y52" s="361"/>
      <c r="Z52" s="225"/>
      <c r="AA52" s="954"/>
      <c r="AB52" s="1628">
        <f t="shared" si="7"/>
        <v>1.3</v>
      </c>
      <c r="AC52" s="3110"/>
      <c r="AD52" s="3311"/>
      <c r="AE52" s="3312">
        <f>+'Exhibit F'!AF47</f>
        <v>0.7</v>
      </c>
      <c r="AF52" s="3110"/>
      <c r="AG52" s="3110"/>
      <c r="AH52" s="889">
        <f t="shared" si="8"/>
        <v>0.6</v>
      </c>
      <c r="AI52" s="115"/>
      <c r="AJ52" s="1717">
        <f t="shared" si="9"/>
        <v>0.85699999999999998</v>
      </c>
    </row>
    <row r="53" spans="1:36" ht="16.5" customHeight="1">
      <c r="A53" s="666" t="s">
        <v>1029</v>
      </c>
      <c r="B53" s="666"/>
      <c r="C53" s="361">
        <f>+'Exhibit F'!D48+'Exhibit H'!B22+'Exhibit I'!E30</f>
        <v>97.4</v>
      </c>
      <c r="D53" s="611"/>
      <c r="E53" s="361"/>
      <c r="F53" s="611"/>
      <c r="G53" s="361"/>
      <c r="H53" s="522"/>
      <c r="I53" s="3312"/>
      <c r="J53" s="522"/>
      <c r="K53" s="361"/>
      <c r="L53" s="522"/>
      <c r="M53" s="361"/>
      <c r="N53" s="225"/>
      <c r="O53" s="3312"/>
      <c r="P53" s="225"/>
      <c r="Q53" s="361"/>
      <c r="R53" s="225"/>
      <c r="S53" s="361"/>
      <c r="T53" s="225"/>
      <c r="U53" s="361"/>
      <c r="V53" s="225"/>
      <c r="W53" s="361"/>
      <c r="X53" s="225"/>
      <c r="Y53" s="361"/>
      <c r="Z53" s="225"/>
      <c r="AA53" s="954"/>
      <c r="AB53" s="1628">
        <f t="shared" si="7"/>
        <v>97.4</v>
      </c>
      <c r="AC53" s="3110"/>
      <c r="AD53" s="3311"/>
      <c r="AE53" s="3312">
        <f>+'Exhibit F'!AF48+'Exhibit H'!AD22+'Exhibit I'!AI30</f>
        <v>57.2</v>
      </c>
      <c r="AF53" s="3110"/>
      <c r="AG53" s="3110"/>
      <c r="AH53" s="889">
        <f t="shared" si="8"/>
        <v>40.200000000000003</v>
      </c>
      <c r="AI53" s="115"/>
      <c r="AJ53" s="1717">
        <f t="shared" si="9"/>
        <v>0.70299999999999996</v>
      </c>
    </row>
    <row r="54" spans="1:36" ht="16.5" customHeight="1">
      <c r="A54" s="666" t="s">
        <v>1030</v>
      </c>
      <c r="B54" s="666"/>
      <c r="C54" s="361">
        <f>+'Exhibit F'!D49</f>
        <v>0</v>
      </c>
      <c r="D54" s="611"/>
      <c r="E54" s="361"/>
      <c r="F54" s="611"/>
      <c r="G54" s="361"/>
      <c r="H54" s="522"/>
      <c r="I54" s="361"/>
      <c r="J54" s="522"/>
      <c r="K54" s="361"/>
      <c r="L54" s="522"/>
      <c r="M54" s="361"/>
      <c r="N54" s="225"/>
      <c r="O54" s="3312"/>
      <c r="P54" s="225"/>
      <c r="Q54" s="361"/>
      <c r="R54" s="225"/>
      <c r="S54" s="361"/>
      <c r="T54" s="225"/>
      <c r="U54" s="361"/>
      <c r="V54" s="225"/>
      <c r="W54" s="361"/>
      <c r="X54" s="225"/>
      <c r="Y54" s="361"/>
      <c r="Z54" s="225"/>
      <c r="AA54" s="954"/>
      <c r="AB54" s="1628">
        <f t="shared" si="7"/>
        <v>0</v>
      </c>
      <c r="AC54" s="3110"/>
      <c r="AD54" s="3311"/>
      <c r="AE54" s="3312">
        <f>+'Exhibit F'!AF49</f>
        <v>0.1</v>
      </c>
      <c r="AF54" s="3110"/>
      <c r="AG54" s="3110"/>
      <c r="AH54" s="889">
        <f t="shared" si="8"/>
        <v>-0.1</v>
      </c>
      <c r="AI54" s="115"/>
      <c r="AJ54" s="1717">
        <f>ROUND(IF(AE54=0,0,AH54/ABS(AE54)),3)</f>
        <v>-1</v>
      </c>
    </row>
    <row r="55" spans="1:36" ht="16.5" customHeight="1">
      <c r="A55" s="2758" t="s">
        <v>1287</v>
      </c>
      <c r="B55" s="666"/>
      <c r="C55" s="361">
        <f>+'Exhibit F'!D50+'Exhibit H'!B23</f>
        <v>0.2</v>
      </c>
      <c r="D55" s="611"/>
      <c r="E55" s="361"/>
      <c r="F55" s="611"/>
      <c r="G55" s="361"/>
      <c r="H55" s="522"/>
      <c r="I55" s="361"/>
      <c r="J55" s="522"/>
      <c r="K55" s="361"/>
      <c r="L55" s="1525"/>
      <c r="M55" s="361"/>
      <c r="N55" s="1525"/>
      <c r="O55" s="3312"/>
      <c r="P55" s="1525"/>
      <c r="Q55" s="361"/>
      <c r="R55" s="1525"/>
      <c r="S55" s="361"/>
      <c r="T55" s="1525"/>
      <c r="U55" s="361"/>
      <c r="V55" s="1525"/>
      <c r="W55" s="361"/>
      <c r="X55" s="1525"/>
      <c r="Y55" s="361"/>
      <c r="Z55" s="1525"/>
      <c r="AA55" s="954"/>
      <c r="AB55" s="1628">
        <f t="shared" ref="AB55" si="10">ROUND(SUM(C55:Y55),1)</f>
        <v>0.2</v>
      </c>
      <c r="AC55" s="3110"/>
      <c r="AD55" s="3311"/>
      <c r="AE55" s="3312">
        <f>+'Exhibit F'!AF50+'Exhibit H'!AD23</f>
        <v>0.2</v>
      </c>
      <c r="AF55" s="3110"/>
      <c r="AG55" s="3110"/>
      <c r="AH55" s="889">
        <f>ROUND(SUM(+AB55-AE55),1)</f>
        <v>0</v>
      </c>
      <c r="AI55" s="3313"/>
      <c r="AJ55" s="1804">
        <f>ROUND(IF(AE55=0,1,AH55/ABS(AE55)),3)</f>
        <v>0</v>
      </c>
    </row>
    <row r="56" spans="1:36" ht="16.5" customHeight="1">
      <c r="A56" s="310" t="s">
        <v>1024</v>
      </c>
      <c r="B56" s="666"/>
      <c r="C56" s="880">
        <f>ROUND(SUM(C50:C55),1)</f>
        <v>218.7</v>
      </c>
      <c r="D56" s="26"/>
      <c r="E56" s="880">
        <f>ROUND(SUM(E50:E55),1)</f>
        <v>0</v>
      </c>
      <c r="F56" s="26"/>
      <c r="G56" s="880">
        <f>ROUND(SUM(G50:G55),1)</f>
        <v>0</v>
      </c>
      <c r="H56" s="225"/>
      <c r="I56" s="880">
        <f>ROUND(SUM(I50:I55),1)</f>
        <v>0</v>
      </c>
      <c r="J56" s="225"/>
      <c r="K56" s="880">
        <f>ROUND(SUM(K50:K55),1)</f>
        <v>0</v>
      </c>
      <c r="L56" s="225"/>
      <c r="M56" s="880">
        <f>ROUND(SUM(M50:M55),1)</f>
        <v>0</v>
      </c>
      <c r="N56" s="225"/>
      <c r="O56" s="3116">
        <f>ROUND(SUM(O50:O55),1)</f>
        <v>0</v>
      </c>
      <c r="P56" s="225"/>
      <c r="Q56" s="3116">
        <f>ROUND(SUM(Q50:Q55),1)</f>
        <v>0</v>
      </c>
      <c r="R56" s="225"/>
      <c r="S56" s="880">
        <f>ROUND(SUM(S50:S55),1)</f>
        <v>0</v>
      </c>
      <c r="T56" s="225"/>
      <c r="U56" s="880">
        <f>ROUND(SUM(U50:U55),1)</f>
        <v>0</v>
      </c>
      <c r="V56" s="225"/>
      <c r="W56" s="880">
        <f>ROUND(SUM(W50:W55),1)</f>
        <v>0</v>
      </c>
      <c r="X56" s="225"/>
      <c r="Y56" s="880">
        <f>ROUND(SUM(Y50:Y55),1)</f>
        <v>0</v>
      </c>
      <c r="Z56" s="225"/>
      <c r="AA56" s="954"/>
      <c r="AB56" s="3116">
        <f>ROUND(SUM(AB50:AB55),1)</f>
        <v>218.7</v>
      </c>
      <c r="AC56" s="3110"/>
      <c r="AD56" s="3311"/>
      <c r="AE56" s="3116">
        <f>ROUND(SUM(AE50:AE55),1)</f>
        <v>130.9</v>
      </c>
      <c r="AF56" s="3110"/>
      <c r="AG56" s="3110"/>
      <c r="AH56" s="3116">
        <f>ROUND(SUM(AH50:AH55),1)</f>
        <v>87.8</v>
      </c>
      <c r="AI56" s="115"/>
      <c r="AJ56" s="3317">
        <f t="shared" si="9"/>
        <v>0.67100000000000004</v>
      </c>
    </row>
    <row r="57" spans="1:36" ht="16.5" customHeight="1">
      <c r="A57" s="310"/>
      <c r="B57" s="666"/>
      <c r="C57" s="27"/>
      <c r="D57" s="27"/>
      <c r="E57" s="27"/>
      <c r="F57" s="27"/>
      <c r="G57" s="27"/>
      <c r="H57" s="1069"/>
      <c r="I57" s="27"/>
      <c r="J57" s="1069"/>
      <c r="K57" s="27"/>
      <c r="L57" s="1069"/>
      <c r="M57" s="27"/>
      <c r="N57" s="1069"/>
      <c r="O57" s="3397"/>
      <c r="P57" s="1069"/>
      <c r="Q57" s="3397"/>
      <c r="R57" s="1069"/>
      <c r="S57" s="27"/>
      <c r="T57" s="1069"/>
      <c r="U57" s="27"/>
      <c r="V57" s="1069"/>
      <c r="W57" s="27"/>
      <c r="X57" s="1069"/>
      <c r="Y57" s="27"/>
      <c r="Z57" s="225"/>
      <c r="AA57" s="521"/>
      <c r="AB57" s="3117"/>
      <c r="AC57" s="3110"/>
      <c r="AD57" s="3311"/>
      <c r="AE57" s="3117"/>
      <c r="AF57" s="3110"/>
      <c r="AG57" s="3110"/>
      <c r="AH57" s="645"/>
      <c r="AI57" s="3110"/>
      <c r="AJ57" s="645"/>
    </row>
    <row r="58" spans="1:36" ht="16.5" customHeight="1">
      <c r="A58" s="310" t="s">
        <v>1025</v>
      </c>
      <c r="B58" s="30"/>
      <c r="C58" s="28">
        <f>ROUND(SUM(C56+C48+C41+C30),1)</f>
        <v>9192</v>
      </c>
      <c r="D58" s="66"/>
      <c r="E58" s="28">
        <f>ROUND(SUM(E56+E48+E41+E30),1)</f>
        <v>0</v>
      </c>
      <c r="F58" s="66"/>
      <c r="G58" s="28">
        <f>ROUND(SUM(G56+G48+G41+G30),1)</f>
        <v>0</v>
      </c>
      <c r="H58" s="66"/>
      <c r="I58" s="28">
        <f>ROUND(SUM(I56+I48+I41+I30),1)</f>
        <v>0</v>
      </c>
      <c r="J58" s="66"/>
      <c r="K58" s="28">
        <f>ROUND(SUM(K56+K48+K41+K30),1)</f>
        <v>0</v>
      </c>
      <c r="L58" s="66"/>
      <c r="M58" s="28">
        <f>ROUND(SUM(M56+M48+M41+M30),1)</f>
        <v>0</v>
      </c>
      <c r="N58" s="66"/>
      <c r="O58" s="3398">
        <f>ROUND(SUM(O56+O48+O41+O30),1)</f>
        <v>0</v>
      </c>
      <c r="P58" s="66"/>
      <c r="Q58" s="3398">
        <f>ROUND(SUM(Q56+Q48+Q41+Q30),1)</f>
        <v>0</v>
      </c>
      <c r="R58" s="66"/>
      <c r="S58" s="28">
        <f>ROUND(SUM(S56+S48+S41+S30),1)</f>
        <v>0</v>
      </c>
      <c r="T58" s="66"/>
      <c r="U58" s="28">
        <f>ROUND(SUM(U56+U48+U41+U30),1)</f>
        <v>0</v>
      </c>
      <c r="V58" s="66"/>
      <c r="W58" s="28">
        <f>ROUND(SUM(W56+W48+W41+W30),1)</f>
        <v>0</v>
      </c>
      <c r="X58" s="165"/>
      <c r="Y58" s="28">
        <f>ROUND(SUM(Y56+Y48+Y41+Y30),1)</f>
        <v>0</v>
      </c>
      <c r="Z58" s="165"/>
      <c r="AA58" s="45"/>
      <c r="AB58" s="313">
        <f>ROUND(+AB56+AB48+AB41+AB30,1)</f>
        <v>9192</v>
      </c>
      <c r="AC58" s="118"/>
      <c r="AD58" s="673"/>
      <c r="AE58" s="313">
        <f>ROUND(+AE56+AE48+AE41+AE30,1)</f>
        <v>3658</v>
      </c>
      <c r="AF58" s="67"/>
      <c r="AG58" s="3318"/>
      <c r="AH58" s="313">
        <f>ROUND(+AH56+AH48+AH41+AH30,1)</f>
        <v>5534</v>
      </c>
      <c r="AI58" s="1018"/>
      <c r="AJ58" s="3319">
        <f>ROUND(IF(AE58=0,0,AH58/ABS(AE58)),3)</f>
        <v>1.5129999999999999</v>
      </c>
    </row>
    <row r="59" spans="1:36" ht="16.5" customHeight="1">
      <c r="A59" s="225"/>
      <c r="B59" s="225"/>
      <c r="C59" s="522"/>
      <c r="D59" s="522"/>
      <c r="E59" s="522"/>
      <c r="F59" s="522"/>
      <c r="G59" s="522"/>
      <c r="H59" s="522"/>
      <c r="I59" s="522"/>
      <c r="J59" s="522"/>
      <c r="K59" s="522"/>
      <c r="L59" s="522"/>
      <c r="M59" s="522"/>
      <c r="N59" s="522"/>
      <c r="O59" s="1628"/>
      <c r="P59" s="522"/>
      <c r="Q59" s="1628"/>
      <c r="R59" s="522"/>
      <c r="S59" s="522"/>
      <c r="T59" s="522"/>
      <c r="U59" s="522"/>
      <c r="V59" s="522"/>
      <c r="W59" s="522"/>
      <c r="X59" s="522"/>
      <c r="Y59" s="522"/>
      <c r="Z59" s="522"/>
      <c r="AA59" s="523"/>
      <c r="AB59" s="1628"/>
      <c r="AC59" s="1628"/>
      <c r="AD59" s="3320"/>
      <c r="AE59" s="1628"/>
      <c r="AF59" s="1628"/>
      <c r="AG59" s="1628"/>
      <c r="AH59" s="1628"/>
      <c r="AI59" s="3110"/>
      <c r="AJ59" s="3321"/>
    </row>
    <row r="60" spans="1:36" ht="16.5" customHeight="1">
      <c r="A60" s="261" t="s">
        <v>933</v>
      </c>
      <c r="B60" s="884"/>
      <c r="C60" s="522"/>
      <c r="D60" s="522"/>
      <c r="E60" s="522"/>
      <c r="F60" s="522"/>
      <c r="G60" s="522" t="s">
        <v>14</v>
      </c>
      <c r="H60" s="522"/>
      <c r="I60" s="522" t="s">
        <v>14</v>
      </c>
      <c r="J60" s="522"/>
      <c r="K60" s="522" t="s">
        <v>14</v>
      </c>
      <c r="L60" s="522"/>
      <c r="M60" s="522"/>
      <c r="N60" s="522"/>
      <c r="O60" s="1628"/>
      <c r="P60" s="522"/>
      <c r="Q60" s="1628"/>
      <c r="R60" s="522"/>
      <c r="S60" s="522"/>
      <c r="T60" s="522"/>
      <c r="U60" s="522"/>
      <c r="V60" s="522"/>
      <c r="W60" s="522"/>
      <c r="X60" s="522"/>
      <c r="Y60" s="522"/>
      <c r="Z60" s="522"/>
      <c r="AA60" s="523"/>
      <c r="AB60" s="1628"/>
      <c r="AC60" s="1628"/>
      <c r="AD60" s="3320"/>
      <c r="AE60" s="1628"/>
      <c r="AF60" s="1628"/>
      <c r="AG60" s="1628"/>
      <c r="AH60" s="1628"/>
      <c r="AI60" s="3110"/>
      <c r="AJ60" s="3321"/>
    </row>
    <row r="61" spans="1:36" ht="16.5" customHeight="1">
      <c r="A61" s="886" t="s">
        <v>1052</v>
      </c>
      <c r="B61" s="884"/>
      <c r="C61" s="522"/>
      <c r="D61" s="522"/>
      <c r="E61" s="522"/>
      <c r="F61" s="522"/>
      <c r="G61" s="522"/>
      <c r="H61" s="522"/>
      <c r="I61" s="522"/>
      <c r="J61" s="522"/>
      <c r="K61" s="522"/>
      <c r="L61" s="522"/>
      <c r="M61" s="522"/>
      <c r="N61" s="522"/>
      <c r="O61" s="1628"/>
      <c r="P61" s="522"/>
      <c r="Q61" s="1628"/>
      <c r="R61" s="522"/>
      <c r="S61" s="522"/>
      <c r="T61" s="522"/>
      <c r="U61" s="522"/>
      <c r="V61" s="522"/>
      <c r="W61" s="522"/>
      <c r="X61" s="522"/>
      <c r="Y61" s="522"/>
      <c r="Z61" s="522"/>
      <c r="AA61" s="523"/>
      <c r="AB61" s="1628"/>
      <c r="AC61" s="1628"/>
      <c r="AD61" s="3320"/>
      <c r="AE61" s="1628"/>
      <c r="AF61" s="1628"/>
      <c r="AG61" s="1628"/>
      <c r="AH61" s="1628"/>
      <c r="AI61" s="3110"/>
      <c r="AJ61" s="3321"/>
    </row>
    <row r="62" spans="1:36" ht="16.5" customHeight="1">
      <c r="A62" s="886" t="s">
        <v>931</v>
      </c>
      <c r="B62" s="886"/>
      <c r="C62" s="522">
        <f>+'Exhibit F'!D57+'Exhibit G'!D41</f>
        <v>1.3</v>
      </c>
      <c r="D62" s="522"/>
      <c r="E62" s="522"/>
      <c r="F62" s="522"/>
      <c r="G62" s="522"/>
      <c r="H62" s="522"/>
      <c r="I62" s="522"/>
      <c r="J62" s="522"/>
      <c r="K62" s="522"/>
      <c r="L62" s="522"/>
      <c r="M62" s="522"/>
      <c r="N62" s="522"/>
      <c r="O62" s="1628"/>
      <c r="P62" s="522"/>
      <c r="Q62" s="522"/>
      <c r="R62" s="522"/>
      <c r="S62" s="522"/>
      <c r="T62" s="522"/>
      <c r="U62" s="522"/>
      <c r="V62" s="522"/>
      <c r="W62" s="522"/>
      <c r="X62" s="522"/>
      <c r="Y62" s="522"/>
      <c r="Z62" s="522"/>
      <c r="AA62" s="523"/>
      <c r="AB62" s="1628">
        <f t="shared" ref="AB62:AB102" si="11">ROUND(SUM(C62:Y62),1)</f>
        <v>1.3</v>
      </c>
      <c r="AC62" s="1628"/>
      <c r="AD62" s="3320"/>
      <c r="AE62" s="1628">
        <f>+'Exhibit F'!AF57+'Exhibit G'!AG41</f>
        <v>1.6</v>
      </c>
      <c r="AF62" s="1628"/>
      <c r="AG62" s="1628"/>
      <c r="AH62" s="1628">
        <f t="shared" ref="AH62:AH102" si="12">ROUND(SUM(AB62-AE62),1)</f>
        <v>-0.3</v>
      </c>
      <c r="AI62" s="3110"/>
      <c r="AJ62" s="1717">
        <f>ROUND(IF(AE62=0,0,AH62/ABS(AE62)),3)</f>
        <v>-0.188</v>
      </c>
    </row>
    <row r="63" spans="1:36" ht="16.5" customHeight="1">
      <c r="A63" s="886" t="s">
        <v>932</v>
      </c>
      <c r="B63" s="886"/>
      <c r="C63" s="522">
        <f>+'Exhibit F'!D58+'Exhibit I'!E37</f>
        <v>1</v>
      </c>
      <c r="D63" s="522"/>
      <c r="E63" s="522"/>
      <c r="F63" s="522"/>
      <c r="G63" s="522"/>
      <c r="H63" s="522"/>
      <c r="I63" s="522"/>
      <c r="J63" s="522"/>
      <c r="K63" s="522"/>
      <c r="L63" s="522"/>
      <c r="M63" s="522"/>
      <c r="N63" s="522"/>
      <c r="O63" s="1628"/>
      <c r="P63" s="522"/>
      <c r="Q63" s="522"/>
      <c r="R63" s="522"/>
      <c r="S63" s="522"/>
      <c r="T63" s="522"/>
      <c r="U63" s="522"/>
      <c r="V63" s="522"/>
      <c r="W63" s="522"/>
      <c r="X63" s="522"/>
      <c r="Y63" s="522"/>
      <c r="Z63" s="522"/>
      <c r="AA63" s="523"/>
      <c r="AB63" s="1628">
        <f t="shared" si="11"/>
        <v>1</v>
      </c>
      <c r="AC63" s="1628"/>
      <c r="AD63" s="3320"/>
      <c r="AE63" s="1628">
        <f>+'Exhibit F'!AF58+'Exhibit I'!AI37</f>
        <v>0.7</v>
      </c>
      <c r="AF63" s="1628"/>
      <c r="AG63" s="1628"/>
      <c r="AH63" s="1628">
        <f t="shared" si="12"/>
        <v>0.3</v>
      </c>
      <c r="AI63" s="3110"/>
      <c r="AJ63" s="1717">
        <f>ROUND(IF(AE63=0,0,AH63/ABS(AE63)),3)</f>
        <v>0.42899999999999999</v>
      </c>
    </row>
    <row r="64" spans="1:36" ht="16.5" customHeight="1">
      <c r="A64" s="886" t="s">
        <v>1053</v>
      </c>
      <c r="B64" s="886"/>
      <c r="C64" s="522"/>
      <c r="D64" s="522"/>
      <c r="E64" s="522"/>
      <c r="F64" s="522"/>
      <c r="G64" s="522"/>
      <c r="H64" s="522"/>
      <c r="I64" s="522"/>
      <c r="J64" s="522"/>
      <c r="K64" s="522"/>
      <c r="L64" s="522"/>
      <c r="M64" s="522"/>
      <c r="N64" s="522"/>
      <c r="O64" s="1628"/>
      <c r="P64" s="522"/>
      <c r="Q64" s="522"/>
      <c r="R64" s="522"/>
      <c r="S64" s="522"/>
      <c r="T64" s="522"/>
      <c r="U64" s="522"/>
      <c r="V64" s="522"/>
      <c r="W64" s="522"/>
      <c r="X64" s="522"/>
      <c r="Y64" s="522"/>
      <c r="Z64" s="522"/>
      <c r="AA64" s="523"/>
      <c r="AB64" s="1628"/>
      <c r="AC64" s="1628"/>
      <c r="AD64" s="3320"/>
      <c r="AE64" s="1628"/>
      <c r="AF64" s="1628"/>
      <c r="AG64" s="1628"/>
      <c r="AH64" s="1628"/>
      <c r="AI64" s="3110"/>
      <c r="AJ64" s="1717"/>
    </row>
    <row r="65" spans="1:36" ht="16.5" customHeight="1">
      <c r="A65" s="886" t="s">
        <v>936</v>
      </c>
      <c r="B65" s="886"/>
      <c r="C65" s="522">
        <f>+'Exhibit F'!D60+'Exhibit G'!D43+'Exhibit I'!E39</f>
        <v>79.2</v>
      </c>
      <c r="D65" s="522"/>
      <c r="E65" s="522"/>
      <c r="F65" s="522"/>
      <c r="G65" s="522"/>
      <c r="H65" s="522"/>
      <c r="I65" s="522"/>
      <c r="J65" s="522"/>
      <c r="K65" s="522"/>
      <c r="L65" s="522"/>
      <c r="M65" s="522"/>
      <c r="N65" s="522"/>
      <c r="O65" s="1628"/>
      <c r="P65" s="522"/>
      <c r="Q65" s="522"/>
      <c r="R65" s="522"/>
      <c r="S65" s="522"/>
      <c r="T65" s="522"/>
      <c r="U65" s="522"/>
      <c r="V65" s="522"/>
      <c r="W65" s="522"/>
      <c r="X65" s="522"/>
      <c r="Y65" s="522"/>
      <c r="Z65" s="522"/>
      <c r="AA65" s="523"/>
      <c r="AB65" s="1628">
        <f>ROUND(SUM(C65:Y65),1)</f>
        <v>79.2</v>
      </c>
      <c r="AC65" s="1628"/>
      <c r="AD65" s="3320"/>
      <c r="AE65" s="1628">
        <f>+'Exhibit F'!AF60+'Exhibit G'!AG43+'Exhibit I'!AI39</f>
        <v>54.6</v>
      </c>
      <c r="AF65" s="1628"/>
      <c r="AG65" s="1628"/>
      <c r="AH65" s="1628">
        <f t="shared" si="12"/>
        <v>24.6</v>
      </c>
      <c r="AI65" s="3110"/>
      <c r="AJ65" s="1717">
        <f>ROUND(IF(AE65=0,0,AH65/ABS(AE65)),3)</f>
        <v>0.45100000000000001</v>
      </c>
    </row>
    <row r="66" spans="1:36" ht="16.5" customHeight="1">
      <c r="A66" s="886" t="s">
        <v>937</v>
      </c>
      <c r="B66" s="886"/>
      <c r="C66" s="522">
        <f>+'Exhibit F'!D61+'Exhibit G'!D44</f>
        <v>484.5</v>
      </c>
      <c r="D66" s="522"/>
      <c r="E66" s="522"/>
      <c r="F66" s="522"/>
      <c r="G66" s="522"/>
      <c r="H66" s="522"/>
      <c r="I66" s="522"/>
      <c r="J66" s="522"/>
      <c r="K66" s="522"/>
      <c r="L66" s="522"/>
      <c r="M66" s="522"/>
      <c r="N66" s="522"/>
      <c r="O66" s="1628"/>
      <c r="P66" s="522"/>
      <c r="Q66" s="522"/>
      <c r="R66" s="522"/>
      <c r="S66" s="522"/>
      <c r="T66" s="522"/>
      <c r="U66" s="522"/>
      <c r="V66" s="522"/>
      <c r="W66" s="522"/>
      <c r="X66" s="522"/>
      <c r="Y66" s="522"/>
      <c r="Z66" s="522"/>
      <c r="AA66" s="523"/>
      <c r="AB66" s="1628">
        <f t="shared" si="11"/>
        <v>484.5</v>
      </c>
      <c r="AC66" s="1628"/>
      <c r="AD66" s="3320"/>
      <c r="AE66" s="1628">
        <f>+'Exhibit F'!AF61+'Exhibit G'!AG44+'Exhibit H'!AD30</f>
        <v>571.19999999999993</v>
      </c>
      <c r="AF66" s="1628"/>
      <c r="AG66" s="1628"/>
      <c r="AH66" s="1628">
        <f t="shared" si="12"/>
        <v>-86.7</v>
      </c>
      <c r="AI66" s="3110"/>
      <c r="AJ66" s="1717">
        <f>ROUND(IF(AE66=0,0,AH66/ABS(AE66)),3)</f>
        <v>-0.152</v>
      </c>
    </row>
    <row r="67" spans="1:36" ht="16.5" customHeight="1">
      <c r="A67" s="886" t="s">
        <v>938</v>
      </c>
      <c r="B67" s="886"/>
      <c r="C67" s="522">
        <f>+'Exhibit F'!D62+'Exhibit G'!D45</f>
        <v>1.5</v>
      </c>
      <c r="D67" s="522"/>
      <c r="E67" s="522"/>
      <c r="F67" s="522"/>
      <c r="G67" s="522"/>
      <c r="H67" s="522"/>
      <c r="I67" s="522"/>
      <c r="J67" s="522"/>
      <c r="K67" s="522"/>
      <c r="L67" s="522"/>
      <c r="M67" s="522"/>
      <c r="N67" s="522"/>
      <c r="O67" s="1628"/>
      <c r="P67" s="522"/>
      <c r="Q67" s="522"/>
      <c r="R67" s="522"/>
      <c r="S67" s="522"/>
      <c r="T67" s="522"/>
      <c r="U67" s="522"/>
      <c r="V67" s="522"/>
      <c r="W67" s="522"/>
      <c r="X67" s="522"/>
      <c r="Y67" s="522"/>
      <c r="Z67" s="522"/>
      <c r="AA67" s="523"/>
      <c r="AB67" s="1628">
        <f t="shared" si="11"/>
        <v>1.5</v>
      </c>
      <c r="AC67" s="1628"/>
      <c r="AD67" s="3320"/>
      <c r="AE67" s="1628">
        <f>+'Exhibit F'!AF62+'Exhibit G'!AG45</f>
        <v>0.1</v>
      </c>
      <c r="AF67" s="1628"/>
      <c r="AG67" s="1628"/>
      <c r="AH67" s="1628">
        <f t="shared" si="12"/>
        <v>1.4</v>
      </c>
      <c r="AI67" s="3110"/>
      <c r="AJ67" s="3316">
        <f>ROUND(IF(AE67=0,0,AH67/ABS(AE67)),3)</f>
        <v>14</v>
      </c>
    </row>
    <row r="68" spans="1:36" ht="16.5" customHeight="1">
      <c r="A68" s="886" t="s">
        <v>939</v>
      </c>
      <c r="B68" s="886"/>
      <c r="C68" s="522">
        <f>+'Exhibit F'!D63+'Exhibit G'!D46</f>
        <v>0</v>
      </c>
      <c r="D68" s="522"/>
      <c r="E68" s="522"/>
      <c r="F68" s="522"/>
      <c r="G68" s="522"/>
      <c r="H68" s="522"/>
      <c r="I68" s="522"/>
      <c r="J68" s="522"/>
      <c r="K68" s="522"/>
      <c r="L68" s="522"/>
      <c r="M68" s="522"/>
      <c r="N68" s="522"/>
      <c r="O68" s="1628"/>
      <c r="P68" s="522"/>
      <c r="Q68" s="522"/>
      <c r="R68" s="522"/>
      <c r="S68" s="522"/>
      <c r="T68" s="522"/>
      <c r="U68" s="522"/>
      <c r="V68" s="522"/>
      <c r="W68" s="522"/>
      <c r="X68" s="522"/>
      <c r="Y68" s="522"/>
      <c r="Z68" s="522"/>
      <c r="AA68" s="523"/>
      <c r="AB68" s="1628">
        <f t="shared" si="11"/>
        <v>0</v>
      </c>
      <c r="AC68" s="1628"/>
      <c r="AD68" s="3320"/>
      <c r="AE68" s="1628">
        <f>+'Exhibit F'!AF63+'Exhibit G'!AG46</f>
        <v>0</v>
      </c>
      <c r="AF68" s="1628"/>
      <c r="AG68" s="1628"/>
      <c r="AH68" s="1628">
        <f t="shared" si="12"/>
        <v>0</v>
      </c>
      <c r="AI68" s="3110"/>
      <c r="AJ68" s="1717">
        <f>ROUND(IF(AE68=0,0,AH68/ABS(AE68)),3)</f>
        <v>0</v>
      </c>
    </row>
    <row r="69" spans="1:36" ht="16.5" customHeight="1">
      <c r="A69" s="886" t="s">
        <v>1058</v>
      </c>
      <c r="B69" s="886"/>
      <c r="C69" s="522"/>
      <c r="D69" s="522"/>
      <c r="E69" s="522"/>
      <c r="F69" s="522"/>
      <c r="G69" s="522"/>
      <c r="H69" s="522"/>
      <c r="I69" s="522"/>
      <c r="J69" s="522"/>
      <c r="K69" s="522"/>
      <c r="L69" s="522"/>
      <c r="M69" s="522"/>
      <c r="N69" s="522"/>
      <c r="O69" s="1628"/>
      <c r="P69" s="522"/>
      <c r="Q69" s="522"/>
      <c r="R69" s="522"/>
      <c r="S69" s="522"/>
      <c r="T69" s="522"/>
      <c r="U69" s="522"/>
      <c r="V69" s="522"/>
      <c r="W69" s="522"/>
      <c r="X69" s="522"/>
      <c r="Y69" s="522"/>
      <c r="Z69" s="522"/>
      <c r="AA69" s="523"/>
      <c r="AB69" s="1628"/>
      <c r="AC69" s="1628"/>
      <c r="AD69" s="3320"/>
      <c r="AE69" s="1628"/>
      <c r="AF69" s="1628"/>
      <c r="AG69" s="1628"/>
      <c r="AH69" s="1628"/>
      <c r="AI69" s="3110"/>
      <c r="AJ69" s="1717"/>
    </row>
    <row r="70" spans="1:36" ht="16.5" customHeight="1">
      <c r="A70" s="886" t="s">
        <v>940</v>
      </c>
      <c r="B70" s="886"/>
      <c r="C70" s="522">
        <f>+'Exhibit F'!D65+'Exhibit H'!B32</f>
        <v>5.3</v>
      </c>
      <c r="D70" s="522"/>
      <c r="E70" s="522"/>
      <c r="F70" s="522"/>
      <c r="G70" s="522"/>
      <c r="H70" s="522"/>
      <c r="I70" s="522"/>
      <c r="J70" s="522"/>
      <c r="K70" s="522"/>
      <c r="L70" s="522"/>
      <c r="M70" s="522"/>
      <c r="N70" s="522"/>
      <c r="O70" s="1628"/>
      <c r="P70" s="522"/>
      <c r="Q70" s="522"/>
      <c r="R70" s="522"/>
      <c r="S70" s="522"/>
      <c r="T70" s="522"/>
      <c r="U70" s="522"/>
      <c r="V70" s="522"/>
      <c r="W70" s="522"/>
      <c r="X70" s="522"/>
      <c r="Y70" s="522"/>
      <c r="Z70" s="522"/>
      <c r="AA70" s="523"/>
      <c r="AB70" s="1628">
        <f t="shared" si="11"/>
        <v>5.3</v>
      </c>
      <c r="AC70" s="1628"/>
      <c r="AD70" s="3320"/>
      <c r="AE70" s="1628">
        <f>+'Exhibit F'!AF65+'Exhibit H'!AD32</f>
        <v>2.2000000000000002</v>
      </c>
      <c r="AF70" s="1628"/>
      <c r="AG70" s="1628"/>
      <c r="AH70" s="1628">
        <f t="shared" si="12"/>
        <v>3.1</v>
      </c>
      <c r="AI70" s="3110"/>
      <c r="AJ70" s="1717">
        <f t="shared" ref="AJ70:AJ77" si="13">ROUND(IF(AE70=0,0,AH70/ABS(AE70)),3)</f>
        <v>1.409</v>
      </c>
    </row>
    <row r="71" spans="1:36" ht="16.5" customHeight="1">
      <c r="A71" s="886" t="s">
        <v>1150</v>
      </c>
      <c r="B71" s="886"/>
      <c r="C71" s="522">
        <f>'Exhibit G'!D48</f>
        <v>0</v>
      </c>
      <c r="D71" s="522"/>
      <c r="E71" s="522"/>
      <c r="F71" s="522"/>
      <c r="G71" s="522"/>
      <c r="H71" s="522"/>
      <c r="I71" s="522"/>
      <c r="J71" s="522"/>
      <c r="K71" s="522"/>
      <c r="L71" s="522"/>
      <c r="M71" s="522"/>
      <c r="N71" s="522"/>
      <c r="O71" s="1628"/>
      <c r="P71" s="522"/>
      <c r="Q71" s="522"/>
      <c r="R71" s="522"/>
      <c r="S71" s="522"/>
      <c r="T71" s="522"/>
      <c r="U71" s="522"/>
      <c r="V71" s="522"/>
      <c r="W71" s="522"/>
      <c r="X71" s="522"/>
      <c r="Y71" s="522"/>
      <c r="Z71" s="522"/>
      <c r="AA71" s="955"/>
      <c r="AB71" s="1628">
        <f t="shared" si="11"/>
        <v>0</v>
      </c>
      <c r="AC71" s="1628"/>
      <c r="AD71" s="3320"/>
      <c r="AE71" s="1628">
        <f>'Exhibit G'!AG48</f>
        <v>0</v>
      </c>
      <c r="AF71" s="1628"/>
      <c r="AG71" s="1628"/>
      <c r="AH71" s="1628">
        <f>ROUND(SUM(AB71-AE71),1)</f>
        <v>0</v>
      </c>
      <c r="AI71" s="3110"/>
      <c r="AJ71" s="1716">
        <f>ROUND(IF(AE71=0,0,AH71/ABS(AE71)),3)</f>
        <v>0</v>
      </c>
    </row>
    <row r="72" spans="1:36" ht="16.5" customHeight="1">
      <c r="A72" s="886" t="s">
        <v>1054</v>
      </c>
      <c r="B72" s="886"/>
      <c r="C72" s="522">
        <f>+'Exhibit F'!D67+'Exhibit G'!D49+'Exhibit I'!E41+'Exhibit H'!B33</f>
        <v>53.9</v>
      </c>
      <c r="D72" s="522"/>
      <c r="E72" s="522"/>
      <c r="F72" s="522"/>
      <c r="G72" s="522"/>
      <c r="H72" s="522"/>
      <c r="I72" s="522"/>
      <c r="J72" s="522"/>
      <c r="K72" s="522"/>
      <c r="L72" s="522"/>
      <c r="M72" s="522"/>
      <c r="N72" s="522"/>
      <c r="O72" s="1628"/>
      <c r="P72" s="522"/>
      <c r="Q72" s="522"/>
      <c r="R72" s="522"/>
      <c r="S72" s="522"/>
      <c r="T72" s="522"/>
      <c r="U72" s="522"/>
      <c r="V72" s="522"/>
      <c r="W72" s="522"/>
      <c r="X72" s="522"/>
      <c r="Y72" s="522"/>
      <c r="Z72" s="522"/>
      <c r="AA72" s="523"/>
      <c r="AB72" s="1628">
        <f t="shared" si="11"/>
        <v>53.9</v>
      </c>
      <c r="AC72" s="1628"/>
      <c r="AD72" s="3320"/>
      <c r="AE72" s="1628">
        <f>+'Exhibit F'!AF67+'Exhibit G'!AG49+'Exhibit I'!AI41+'Exhibit H'!AD33</f>
        <v>68.999999999999986</v>
      </c>
      <c r="AF72" s="1628"/>
      <c r="AG72" s="1628"/>
      <c r="AH72" s="1628">
        <f>ROUND(SUM(AB72-AE72),1)</f>
        <v>-15.1</v>
      </c>
      <c r="AI72" s="3110"/>
      <c r="AJ72" s="1717">
        <f>ROUND(IF(AE72=0,0,AH72/ABS(AE72)),3)</f>
        <v>-0.219</v>
      </c>
    </row>
    <row r="73" spans="1:36" ht="16.5" customHeight="1">
      <c r="A73" s="886" t="s">
        <v>942</v>
      </c>
      <c r="B73" s="886"/>
      <c r="C73" s="522">
        <f>+'Exhibit F'!D68+'Exhibit G'!D50+'Exhibit H'!B34</f>
        <v>25.9</v>
      </c>
      <c r="D73" s="522"/>
      <c r="E73" s="522"/>
      <c r="F73" s="522"/>
      <c r="G73" s="522"/>
      <c r="H73" s="522"/>
      <c r="I73" s="522"/>
      <c r="J73" s="522"/>
      <c r="K73" s="522"/>
      <c r="L73" s="522"/>
      <c r="M73" s="522"/>
      <c r="N73" s="522"/>
      <c r="O73" s="1628"/>
      <c r="P73" s="522"/>
      <c r="Q73" s="522"/>
      <c r="R73" s="522"/>
      <c r="S73" s="522"/>
      <c r="T73" s="522"/>
      <c r="U73" s="522"/>
      <c r="V73" s="522"/>
      <c r="W73" s="522"/>
      <c r="X73" s="522"/>
      <c r="Y73" s="522"/>
      <c r="Z73" s="522"/>
      <c r="AA73" s="523"/>
      <c r="AB73" s="1628">
        <f t="shared" si="11"/>
        <v>25.9</v>
      </c>
      <c r="AC73" s="1628"/>
      <c r="AD73" s="3320"/>
      <c r="AE73" s="1628">
        <f>+'Exhibit F'!AF68+'Exhibit G'!AG50+'Exhibit H'!AD34+'Exhibit I'!AI42</f>
        <v>4.3000000000000007</v>
      </c>
      <c r="AF73" s="1628"/>
      <c r="AG73" s="1628"/>
      <c r="AH73" s="1628">
        <f t="shared" si="12"/>
        <v>21.6</v>
      </c>
      <c r="AI73" s="3110"/>
      <c r="AJ73" s="1717">
        <f t="shared" si="13"/>
        <v>5.0229999999999997</v>
      </c>
    </row>
    <row r="74" spans="1:36" ht="16.5" customHeight="1">
      <c r="A74" s="886" t="s">
        <v>943</v>
      </c>
      <c r="B74" s="886"/>
      <c r="C74" s="522">
        <f>+'Exhibit F'!D69+'Exhibit G'!D51+'Exhibit H'!B35</f>
        <v>1</v>
      </c>
      <c r="D74" s="522"/>
      <c r="E74" s="522"/>
      <c r="F74" s="522"/>
      <c r="G74" s="522"/>
      <c r="H74" s="522"/>
      <c r="I74" s="522"/>
      <c r="J74" s="522"/>
      <c r="K74" s="522"/>
      <c r="L74" s="522"/>
      <c r="M74" s="522"/>
      <c r="N74" s="522"/>
      <c r="O74" s="1628"/>
      <c r="P74" s="522"/>
      <c r="Q74" s="522"/>
      <c r="R74" s="522"/>
      <c r="S74" s="522"/>
      <c r="T74" s="522"/>
      <c r="U74" s="522"/>
      <c r="V74" s="522"/>
      <c r="W74" s="522"/>
      <c r="X74" s="522"/>
      <c r="Y74" s="522"/>
      <c r="Z74" s="522"/>
      <c r="AA74" s="523"/>
      <c r="AB74" s="1628">
        <f t="shared" si="11"/>
        <v>1</v>
      </c>
      <c r="AC74" s="1628"/>
      <c r="AD74" s="3320"/>
      <c r="AE74" s="1628">
        <f>+'Exhibit F'!AF69+'Exhibit G'!AG51+'Exhibit H'!AD35</f>
        <v>0.6</v>
      </c>
      <c r="AF74" s="1628"/>
      <c r="AG74" s="1628"/>
      <c r="AH74" s="1628">
        <f t="shared" si="12"/>
        <v>0.4</v>
      </c>
      <c r="AI74" s="3110"/>
      <c r="AJ74" s="1716">
        <f>ROUND(IF(AE74=0,0,AH74/ABS(AE74)),3)</f>
        <v>0.66700000000000004</v>
      </c>
    </row>
    <row r="75" spans="1:36" ht="16.5" customHeight="1">
      <c r="A75" s="886" t="s">
        <v>944</v>
      </c>
      <c r="B75" s="886"/>
      <c r="C75" s="522">
        <f>+'Exhibit F'!D70+'Exhibit G'!D52+'Exhibit I'!E43+'Exhibit H'!B36</f>
        <v>129</v>
      </c>
      <c r="D75" s="522"/>
      <c r="E75" s="522"/>
      <c r="F75" s="522"/>
      <c r="G75" s="522"/>
      <c r="H75" s="522"/>
      <c r="I75" s="522"/>
      <c r="J75" s="522"/>
      <c r="K75" s="522"/>
      <c r="L75" s="522"/>
      <c r="M75" s="522"/>
      <c r="N75" s="522"/>
      <c r="O75" s="1628"/>
      <c r="P75" s="522"/>
      <c r="Q75" s="522"/>
      <c r="R75" s="522"/>
      <c r="S75" s="522"/>
      <c r="T75" s="522"/>
      <c r="U75" s="522"/>
      <c r="V75" s="522"/>
      <c r="W75" s="522"/>
      <c r="X75" s="522"/>
      <c r="Y75" s="522"/>
      <c r="Z75" s="522"/>
      <c r="AA75" s="523"/>
      <c r="AB75" s="1628">
        <f t="shared" si="11"/>
        <v>129</v>
      </c>
      <c r="AC75" s="1628"/>
      <c r="AD75" s="3320"/>
      <c r="AE75" s="1628">
        <f>+'Exhibit F'!AF70+'Exhibit G'!AG52+'Exhibit I'!AI43+'Exhibit H'!AD36</f>
        <v>-29.799999999999997</v>
      </c>
      <c r="AF75" s="1628"/>
      <c r="AG75" s="1628"/>
      <c r="AH75" s="1628">
        <f t="shared" si="12"/>
        <v>158.80000000000001</v>
      </c>
      <c r="AI75" s="3110"/>
      <c r="AJ75" s="1717">
        <f t="shared" si="13"/>
        <v>5.3289999999999997</v>
      </c>
    </row>
    <row r="76" spans="1:36" ht="16.5" customHeight="1">
      <c r="A76" s="886" t="s">
        <v>945</v>
      </c>
      <c r="B76" s="886"/>
      <c r="C76" s="522">
        <f>+'Exhibit F'!D71+'Exhibit G'!D53+'Exhibit I'!E44+'Exhibit H'!B37</f>
        <v>68.400000000000006</v>
      </c>
      <c r="D76" s="522"/>
      <c r="E76" s="522"/>
      <c r="F76" s="522"/>
      <c r="G76" s="522"/>
      <c r="H76" s="522"/>
      <c r="I76" s="522"/>
      <c r="J76" s="522"/>
      <c r="K76" s="522"/>
      <c r="L76" s="522"/>
      <c r="M76" s="522"/>
      <c r="N76" s="522"/>
      <c r="O76" s="1628"/>
      <c r="P76" s="522"/>
      <c r="Q76" s="522"/>
      <c r="R76" s="522"/>
      <c r="S76" s="522"/>
      <c r="T76" s="522"/>
      <c r="U76" s="522"/>
      <c r="V76" s="522"/>
      <c r="W76" s="522"/>
      <c r="X76" s="522"/>
      <c r="Y76" s="522"/>
      <c r="Z76" s="522"/>
      <c r="AA76" s="523"/>
      <c r="AB76" s="1628">
        <f t="shared" si="11"/>
        <v>68.400000000000006</v>
      </c>
      <c r="AC76" s="1628"/>
      <c r="AD76" s="3320"/>
      <c r="AE76" s="1628">
        <f>+'Exhibit F'!AF71+'Exhibit G'!AG53+'Exhibit I'!AI44+'Exhibit H'!AD37</f>
        <v>43</v>
      </c>
      <c r="AF76" s="1628"/>
      <c r="AG76" s="1628"/>
      <c r="AH76" s="1628">
        <f t="shared" si="12"/>
        <v>25.4</v>
      </c>
      <c r="AI76" s="3110"/>
      <c r="AJ76" s="1717">
        <f t="shared" si="13"/>
        <v>0.59099999999999997</v>
      </c>
    </row>
    <row r="77" spans="1:36" ht="16.5" customHeight="1">
      <c r="A77" s="886" t="s">
        <v>934</v>
      </c>
      <c r="B77" s="886"/>
      <c r="C77" s="522">
        <f>+'Exhibit F'!D72+'Exhibit G'!D54+'Exhibit I'!E45</f>
        <v>50.4</v>
      </c>
      <c r="D77" s="522"/>
      <c r="E77" s="522"/>
      <c r="F77" s="522"/>
      <c r="G77" s="522"/>
      <c r="H77" s="522"/>
      <c r="I77" s="522"/>
      <c r="J77" s="522"/>
      <c r="K77" s="522"/>
      <c r="L77" s="522"/>
      <c r="M77" s="522"/>
      <c r="N77" s="522"/>
      <c r="O77" s="1628"/>
      <c r="P77" s="522"/>
      <c r="Q77" s="522"/>
      <c r="R77" s="522"/>
      <c r="S77" s="522"/>
      <c r="T77" s="522"/>
      <c r="U77" s="522"/>
      <c r="V77" s="522"/>
      <c r="W77" s="522"/>
      <c r="X77" s="522"/>
      <c r="Y77" s="522"/>
      <c r="Z77" s="522"/>
      <c r="AA77" s="523"/>
      <c r="AB77" s="1628">
        <f t="shared" si="11"/>
        <v>50.4</v>
      </c>
      <c r="AC77" s="1628"/>
      <c r="AD77" s="3320"/>
      <c r="AE77" s="1628">
        <f>+'Exhibit F'!AF72+'Exhibit G'!AG54+'Exhibit I'!AI45</f>
        <v>100.9</v>
      </c>
      <c r="AF77" s="1628"/>
      <c r="AG77" s="1628"/>
      <c r="AH77" s="1628">
        <f t="shared" si="12"/>
        <v>-50.5</v>
      </c>
      <c r="AI77" s="3110"/>
      <c r="AJ77" s="1717">
        <f t="shared" si="13"/>
        <v>-0.5</v>
      </c>
    </row>
    <row r="78" spans="1:36" ht="16.5" customHeight="1">
      <c r="A78" s="886" t="s">
        <v>1055</v>
      </c>
      <c r="B78" s="886"/>
      <c r="C78" s="522"/>
      <c r="D78" s="522"/>
      <c r="E78" s="522"/>
      <c r="F78" s="522"/>
      <c r="G78" s="522"/>
      <c r="H78" s="522"/>
      <c r="I78" s="522"/>
      <c r="J78" s="522"/>
      <c r="K78" s="522"/>
      <c r="L78" s="522"/>
      <c r="M78" s="522"/>
      <c r="N78" s="522"/>
      <c r="O78" s="1628"/>
      <c r="P78" s="522"/>
      <c r="Q78" s="522"/>
      <c r="R78" s="522"/>
      <c r="S78" s="522"/>
      <c r="T78" s="522"/>
      <c r="U78" s="522"/>
      <c r="V78" s="522"/>
      <c r="W78" s="522"/>
      <c r="X78" s="522"/>
      <c r="Y78" s="522"/>
      <c r="Z78" s="522"/>
      <c r="AA78" s="523"/>
      <c r="AB78" s="1628"/>
      <c r="AC78" s="1628"/>
      <c r="AD78" s="3320"/>
      <c r="AE78" s="1628"/>
      <c r="AF78" s="1628"/>
      <c r="AG78" s="1628"/>
      <c r="AH78" s="1628"/>
      <c r="AI78" s="3110"/>
      <c r="AJ78" s="1717"/>
    </row>
    <row r="79" spans="1:36" ht="16.5" customHeight="1">
      <c r="A79" s="886" t="s">
        <v>946</v>
      </c>
      <c r="B79" s="886"/>
      <c r="C79" s="522">
        <f>+'Exhibit G'!D56</f>
        <v>34.200000000000003</v>
      </c>
      <c r="D79" s="522"/>
      <c r="E79" s="522"/>
      <c r="F79" s="522"/>
      <c r="G79" s="522"/>
      <c r="H79" s="522"/>
      <c r="I79" s="522"/>
      <c r="J79" s="522"/>
      <c r="K79" s="522"/>
      <c r="L79" s="522"/>
      <c r="M79" s="522"/>
      <c r="N79" s="522"/>
      <c r="O79" s="1628"/>
      <c r="P79" s="522"/>
      <c r="Q79" s="522"/>
      <c r="R79" s="522"/>
      <c r="S79" s="522"/>
      <c r="T79" s="522"/>
      <c r="U79" s="522"/>
      <c r="V79" s="522"/>
      <c r="W79" s="522"/>
      <c r="X79" s="522"/>
      <c r="Y79" s="522"/>
      <c r="Z79" s="522"/>
      <c r="AA79" s="523"/>
      <c r="AB79" s="1628">
        <f>ROUND(SUM(C79:Y79),1)</f>
        <v>34.200000000000003</v>
      </c>
      <c r="AC79" s="1628"/>
      <c r="AD79" s="3320"/>
      <c r="AE79" s="1628">
        <f>+'Exhibit G'!AG56</f>
        <v>0</v>
      </c>
      <c r="AF79" s="1628"/>
      <c r="AG79" s="1628"/>
      <c r="AH79" s="1628">
        <f>ROUND(SUM(AB79-AE79),1)</f>
        <v>34.200000000000003</v>
      </c>
      <c r="AI79" s="3110"/>
      <c r="AJ79" s="1721">
        <f>ROUND(IF(AE79=0,1,AH79/ABS(AE79)),3)</f>
        <v>1</v>
      </c>
    </row>
    <row r="80" spans="1:36" ht="16.5" customHeight="1">
      <c r="A80" s="886" t="s">
        <v>947</v>
      </c>
      <c r="B80" s="886"/>
      <c r="C80" s="522">
        <f>+'Exhibit G'!D57</f>
        <v>199.5</v>
      </c>
      <c r="D80" s="522"/>
      <c r="E80" s="522"/>
      <c r="F80" s="522"/>
      <c r="G80" s="522"/>
      <c r="H80" s="522"/>
      <c r="I80" s="522"/>
      <c r="J80" s="522"/>
      <c r="K80" s="522"/>
      <c r="L80" s="522"/>
      <c r="M80" s="522"/>
      <c r="N80" s="522"/>
      <c r="O80" s="1628"/>
      <c r="P80" s="522"/>
      <c r="Q80" s="522"/>
      <c r="R80" s="522"/>
      <c r="S80" s="522"/>
      <c r="T80" s="522"/>
      <c r="U80" s="522"/>
      <c r="V80" s="522"/>
      <c r="W80" s="522"/>
      <c r="X80" s="522"/>
      <c r="Y80" s="522"/>
      <c r="Z80" s="522"/>
      <c r="AA80" s="523"/>
      <c r="AB80" s="1628">
        <f>ROUND(SUM(C80:Y80),1)</f>
        <v>199.5</v>
      </c>
      <c r="AC80" s="1628"/>
      <c r="AD80" s="3320"/>
      <c r="AE80" s="1628">
        <f>+'Exhibit G'!AG57</f>
        <v>157</v>
      </c>
      <c r="AF80" s="1628"/>
      <c r="AG80" s="1628"/>
      <c r="AH80" s="1628">
        <f>ROUND(SUM(AB80-AE80),1)</f>
        <v>42.5</v>
      </c>
      <c r="AI80" s="3110"/>
      <c r="AJ80" s="1721">
        <f>ROUND(IF(AE80=0,0,AH80/ABS(AE80)),3)</f>
        <v>0.27100000000000002</v>
      </c>
    </row>
    <row r="81" spans="1:36" ht="16.5" customHeight="1">
      <c r="A81" s="886" t="s">
        <v>948</v>
      </c>
      <c r="B81" s="886"/>
      <c r="C81" s="522">
        <f>+'Exhibit G'!D58</f>
        <v>75.900000000000006</v>
      </c>
      <c r="D81" s="522"/>
      <c r="E81" s="522"/>
      <c r="F81" s="522"/>
      <c r="G81" s="522"/>
      <c r="H81" s="522"/>
      <c r="I81" s="522"/>
      <c r="J81" s="522"/>
      <c r="K81" s="522"/>
      <c r="L81" s="522"/>
      <c r="M81" s="522"/>
      <c r="N81" s="522"/>
      <c r="O81" s="1628"/>
      <c r="P81" s="522"/>
      <c r="Q81" s="522"/>
      <c r="R81" s="522"/>
      <c r="S81" s="522"/>
      <c r="T81" s="522"/>
      <c r="U81" s="522"/>
      <c r="V81" s="522"/>
      <c r="W81" s="522"/>
      <c r="X81" s="522"/>
      <c r="Y81" s="522"/>
      <c r="Z81" s="522"/>
      <c r="AA81" s="523"/>
      <c r="AB81" s="1628">
        <f>ROUND(SUM(C81:Y81),1)</f>
        <v>75.900000000000006</v>
      </c>
      <c r="AC81" s="1628"/>
      <c r="AD81" s="3320"/>
      <c r="AE81" s="1628">
        <f>+'Exhibit G'!AG58</f>
        <v>0</v>
      </c>
      <c r="AF81" s="1628"/>
      <c r="AG81" s="1628"/>
      <c r="AH81" s="1628">
        <f>ROUND(SUM(AB81-AE81),1)</f>
        <v>75.900000000000006</v>
      </c>
      <c r="AI81" s="3110"/>
      <c r="AJ81" s="1721">
        <f>ROUND(IF(AE81=0,1,AH81/ABS(AE81)),3)</f>
        <v>1</v>
      </c>
    </row>
    <row r="82" spans="1:36" ht="16.5" customHeight="1">
      <c r="A82" s="886" t="s">
        <v>935</v>
      </c>
      <c r="B82" s="886"/>
      <c r="C82" s="522">
        <f>+'Exhibit F'!D73+'Exhibit G'!D59+'Exhibit H'!B38+'Exhibit I'!E46</f>
        <v>5.6</v>
      </c>
      <c r="D82" s="522"/>
      <c r="E82" s="522"/>
      <c r="F82" s="522"/>
      <c r="G82" s="522"/>
      <c r="H82" s="522"/>
      <c r="I82" s="522"/>
      <c r="J82" s="522"/>
      <c r="K82" s="522"/>
      <c r="L82" s="522"/>
      <c r="M82" s="522"/>
      <c r="N82" s="522"/>
      <c r="O82" s="1628"/>
      <c r="P82" s="522"/>
      <c r="Q82" s="522"/>
      <c r="R82" s="522"/>
      <c r="S82" s="522"/>
      <c r="T82" s="522"/>
      <c r="U82" s="522"/>
      <c r="V82" s="522"/>
      <c r="W82" s="522"/>
      <c r="X82" s="522"/>
      <c r="Y82" s="522"/>
      <c r="Z82" s="522"/>
      <c r="AA82" s="523"/>
      <c r="AB82" s="1628">
        <f>ROUND(SUM(C82:Y82),1)</f>
        <v>5.6</v>
      </c>
      <c r="AC82" s="1628"/>
      <c r="AD82" s="3320"/>
      <c r="AE82" s="1628">
        <f>+'Exhibit F'!AF73+'Exhibit G'!AG59+'Exhibit H'!AD38+'Exhibit I'!AI46</f>
        <v>32.900000000000006</v>
      </c>
      <c r="AF82" s="1628"/>
      <c r="AG82" s="1628"/>
      <c r="AH82" s="1628">
        <f>ROUND(SUM(AB82-AE82),1)</f>
        <v>-27.3</v>
      </c>
      <c r="AI82" s="3110"/>
      <c r="AJ82" s="3316">
        <f>ROUND(IF(AE82=0,0,AH82/ABS(AE82)),3)</f>
        <v>-0.83</v>
      </c>
    </row>
    <row r="83" spans="1:36" ht="16.5" customHeight="1">
      <c r="A83" s="886" t="s">
        <v>953</v>
      </c>
      <c r="B83" s="886"/>
      <c r="C83" s="522">
        <f>+'Exhibit F'!D74+'Exhibit G'!D60+'Exhibit H'!B39+'Exhibit I'!E47</f>
        <v>6.7</v>
      </c>
      <c r="D83" s="522"/>
      <c r="E83" s="522"/>
      <c r="F83" s="522"/>
      <c r="G83" s="522"/>
      <c r="H83" s="522"/>
      <c r="I83" s="522"/>
      <c r="J83" s="522"/>
      <c r="K83" s="522"/>
      <c r="L83" s="522"/>
      <c r="M83" s="522"/>
      <c r="N83" s="522"/>
      <c r="O83" s="1628"/>
      <c r="P83" s="522"/>
      <c r="Q83" s="522"/>
      <c r="R83" s="522"/>
      <c r="S83" s="522"/>
      <c r="T83" s="522"/>
      <c r="U83" s="522"/>
      <c r="V83" s="522"/>
      <c r="W83" s="522"/>
      <c r="X83" s="522"/>
      <c r="Y83" s="522"/>
      <c r="Z83" s="522"/>
      <c r="AA83" s="523"/>
      <c r="AB83" s="1628">
        <f>ROUND(SUM(C83:Y83),1)</f>
        <v>6.7</v>
      </c>
      <c r="AC83" s="1628"/>
      <c r="AD83" s="3320"/>
      <c r="AE83" s="1628">
        <f>+'Exhibit F'!AF74+'Exhibit G'!AG60+'Exhibit H'!AD39+'Exhibit I'!AI47</f>
        <v>9.2999999999999989</v>
      </c>
      <c r="AF83" s="1628"/>
      <c r="AG83" s="1628"/>
      <c r="AH83" s="1628">
        <f>ROUND(SUM(AB83-AE83),1)</f>
        <v>-2.6</v>
      </c>
      <c r="AI83" s="3110"/>
      <c r="AJ83" s="1716">
        <f>ROUND(IF(AE83=0,0,AH83/ABS(AE83)),3)</f>
        <v>-0.28000000000000003</v>
      </c>
    </row>
    <row r="84" spans="1:36" ht="16.5" customHeight="1">
      <c r="A84" s="886" t="s">
        <v>1056</v>
      </c>
      <c r="B84" s="886"/>
      <c r="C84" s="522"/>
      <c r="D84" s="522"/>
      <c r="E84" s="522"/>
      <c r="F84" s="522"/>
      <c r="G84" s="522"/>
      <c r="H84" s="522"/>
      <c r="I84" s="522"/>
      <c r="J84" s="522"/>
      <c r="K84" s="522"/>
      <c r="L84" s="522"/>
      <c r="M84" s="522"/>
      <c r="N84" s="522"/>
      <c r="O84" s="1628"/>
      <c r="P84" s="522"/>
      <c r="Q84" s="522"/>
      <c r="R84" s="522"/>
      <c r="S84" s="522"/>
      <c r="T84" s="522"/>
      <c r="U84" s="522"/>
      <c r="V84" s="522"/>
      <c r="W84" s="522"/>
      <c r="X84" s="522"/>
      <c r="Y84" s="522"/>
      <c r="Z84" s="522"/>
      <c r="AA84" s="523"/>
      <c r="AB84" s="1628"/>
      <c r="AC84" s="1628"/>
      <c r="AD84" s="3320"/>
      <c r="AE84" s="1628"/>
      <c r="AF84" s="1628"/>
      <c r="AG84" s="1628"/>
      <c r="AH84" s="1628"/>
      <c r="AI84" s="3110"/>
      <c r="AJ84" s="1717"/>
    </row>
    <row r="85" spans="1:36" ht="16.5" customHeight="1">
      <c r="A85" s="886" t="s">
        <v>949</v>
      </c>
      <c r="B85" s="886"/>
      <c r="C85" s="522">
        <f>+'Exhibit G'!D62+'Exhibit I'!E49</f>
        <v>78.399999999999991</v>
      </c>
      <c r="D85" s="522"/>
      <c r="E85" s="522"/>
      <c r="F85" s="522"/>
      <c r="G85" s="522"/>
      <c r="H85" s="522"/>
      <c r="I85" s="522"/>
      <c r="J85" s="522"/>
      <c r="K85" s="522"/>
      <c r="L85" s="522"/>
      <c r="M85" s="522"/>
      <c r="N85" s="522"/>
      <c r="O85" s="1628"/>
      <c r="P85" s="522"/>
      <c r="Q85" s="522"/>
      <c r="R85" s="522"/>
      <c r="S85" s="522"/>
      <c r="T85" s="522"/>
      <c r="U85" s="522"/>
      <c r="V85" s="522"/>
      <c r="W85" s="522"/>
      <c r="X85" s="522"/>
      <c r="Y85" s="522"/>
      <c r="Z85" s="522"/>
      <c r="AA85" s="523"/>
      <c r="AB85" s="1628">
        <f t="shared" si="11"/>
        <v>78.400000000000006</v>
      </c>
      <c r="AC85" s="1628"/>
      <c r="AD85" s="3320"/>
      <c r="AE85" s="1628">
        <f>+'Exhibit G'!AG62+'Exhibit I'!AI49+'Exhibit H'!AD41</f>
        <v>1122.0999999999999</v>
      </c>
      <c r="AF85" s="1628"/>
      <c r="AG85" s="1628"/>
      <c r="AH85" s="1628">
        <f t="shared" si="12"/>
        <v>-1043.7</v>
      </c>
      <c r="AI85" s="3110"/>
      <c r="AJ85" s="1721">
        <f>ROUND(IF(AE85=0,1,AH85/ABS(AE85)),3)</f>
        <v>-0.93</v>
      </c>
    </row>
    <row r="86" spans="1:36" ht="16.5" customHeight="1">
      <c r="A86" s="886" t="s">
        <v>950</v>
      </c>
      <c r="B86" s="886"/>
      <c r="C86" s="522">
        <f>+'Exhibit F'!D77+'Exhibit G'!D63</f>
        <v>0</v>
      </c>
      <c r="D86" s="522"/>
      <c r="E86" s="522"/>
      <c r="F86" s="522"/>
      <c r="G86" s="522"/>
      <c r="H86" s="522"/>
      <c r="I86" s="522"/>
      <c r="J86" s="522"/>
      <c r="K86" s="522"/>
      <c r="L86" s="522"/>
      <c r="M86" s="522"/>
      <c r="N86" s="522"/>
      <c r="O86" s="1628"/>
      <c r="P86" s="522"/>
      <c r="Q86" s="522"/>
      <c r="R86" s="522"/>
      <c r="S86" s="522"/>
      <c r="T86" s="522"/>
      <c r="U86" s="522"/>
      <c r="V86" s="522"/>
      <c r="W86" s="522"/>
      <c r="X86" s="522"/>
      <c r="Y86" s="522"/>
      <c r="Z86" s="522"/>
      <c r="AA86" s="523"/>
      <c r="AB86" s="1628">
        <f t="shared" si="11"/>
        <v>0</v>
      </c>
      <c r="AC86" s="1628"/>
      <c r="AD86" s="3320"/>
      <c r="AE86" s="1628">
        <f>+'Exhibit F'!AF77+'Exhibit G'!AG63</f>
        <v>0</v>
      </c>
      <c r="AF86" s="1628"/>
      <c r="AG86" s="1628"/>
      <c r="AH86" s="1628">
        <f t="shared" si="12"/>
        <v>0</v>
      </c>
      <c r="AI86" s="3110"/>
      <c r="AJ86" s="1716">
        <f>ROUND(IF(AE86=0,0,AH86/ABS(AE86)),3)</f>
        <v>0</v>
      </c>
    </row>
    <row r="87" spans="1:36" ht="16.5" customHeight="1">
      <c r="A87" s="886" t="s">
        <v>951</v>
      </c>
      <c r="B87" s="886"/>
      <c r="C87" s="522">
        <f>+'Exhibit F'!D78+'Exhibit G'!D64</f>
        <v>2.7</v>
      </c>
      <c r="D87" s="522"/>
      <c r="E87" s="522"/>
      <c r="F87" s="522"/>
      <c r="G87" s="522"/>
      <c r="H87" s="522"/>
      <c r="I87" s="522"/>
      <c r="J87" s="522"/>
      <c r="K87" s="522"/>
      <c r="L87" s="522"/>
      <c r="M87" s="522"/>
      <c r="N87" s="522"/>
      <c r="O87" s="1628"/>
      <c r="P87" s="522"/>
      <c r="Q87" s="522"/>
      <c r="R87" s="522"/>
      <c r="S87" s="522"/>
      <c r="T87" s="522"/>
      <c r="U87" s="522"/>
      <c r="V87" s="522"/>
      <c r="W87" s="522"/>
      <c r="X87" s="522"/>
      <c r="Y87" s="522"/>
      <c r="Z87" s="522"/>
      <c r="AA87" s="523"/>
      <c r="AB87" s="1628">
        <f t="shared" si="11"/>
        <v>2.7</v>
      </c>
      <c r="AC87" s="1628"/>
      <c r="AD87" s="3320"/>
      <c r="AE87" s="1628">
        <f>+'Exhibit F'!AF78+'Exhibit G'!AG64</f>
        <v>0.5</v>
      </c>
      <c r="AF87" s="1628"/>
      <c r="AG87" s="1628"/>
      <c r="AH87" s="1628">
        <f t="shared" si="12"/>
        <v>2.2000000000000002</v>
      </c>
      <c r="AI87" s="3110"/>
      <c r="AJ87" s="1721">
        <f t="shared" ref="AJ87:AJ89" si="14">ROUND(IF(AE87=0,0,AH87/ABS(AE87)),3)</f>
        <v>4.4000000000000004</v>
      </c>
    </row>
    <row r="88" spans="1:36" ht="16.5" customHeight="1">
      <c r="A88" s="886" t="s">
        <v>952</v>
      </c>
      <c r="B88" s="886"/>
      <c r="C88" s="522">
        <f>+'Exhibit F'!D79+'Exhibit G'!D65+'Exhibit I'!E51</f>
        <v>0.7</v>
      </c>
      <c r="D88" s="522"/>
      <c r="E88" s="522"/>
      <c r="F88" s="522"/>
      <c r="G88" s="522"/>
      <c r="H88" s="522"/>
      <c r="I88" s="522"/>
      <c r="J88" s="522"/>
      <c r="K88" s="522"/>
      <c r="L88" s="522"/>
      <c r="M88" s="522"/>
      <c r="N88" s="522"/>
      <c r="O88" s="1628"/>
      <c r="P88" s="522"/>
      <c r="Q88" s="522"/>
      <c r="R88" s="522"/>
      <c r="S88" s="522"/>
      <c r="T88" s="522"/>
      <c r="U88" s="522"/>
      <c r="V88" s="522"/>
      <c r="W88" s="522"/>
      <c r="X88" s="522"/>
      <c r="Y88" s="522"/>
      <c r="Z88" s="522"/>
      <c r="AA88" s="523"/>
      <c r="AB88" s="1628">
        <f t="shared" si="11"/>
        <v>0.7</v>
      </c>
      <c r="AC88" s="1628"/>
      <c r="AD88" s="3320"/>
      <c r="AE88" s="1628">
        <f>+'Exhibit F'!AF79+'Exhibit G'!AG65+'Exhibit I'!AI51</f>
        <v>9</v>
      </c>
      <c r="AF88" s="1628"/>
      <c r="AG88" s="1628"/>
      <c r="AH88" s="1628">
        <f t="shared" si="12"/>
        <v>-8.3000000000000007</v>
      </c>
      <c r="AI88" s="3110"/>
      <c r="AJ88" s="1716">
        <f t="shared" si="14"/>
        <v>-0.92200000000000004</v>
      </c>
    </row>
    <row r="89" spans="1:36" ht="16.5" customHeight="1">
      <c r="A89" s="886" t="s">
        <v>954</v>
      </c>
      <c r="B89" s="886"/>
      <c r="C89" s="522">
        <f>+'Exhibit F'!D80+'Exhibit G'!D66+'Exhibit H'!B42+'Exhibit I'!E52</f>
        <v>45.3</v>
      </c>
      <c r="D89" s="522"/>
      <c r="E89" s="522"/>
      <c r="F89" s="522"/>
      <c r="G89" s="522"/>
      <c r="H89" s="522"/>
      <c r="I89" s="522"/>
      <c r="J89" s="522"/>
      <c r="K89" s="522"/>
      <c r="L89" s="522"/>
      <c r="M89" s="522"/>
      <c r="N89" s="522"/>
      <c r="O89" s="1628"/>
      <c r="P89" s="522"/>
      <c r="Q89" s="522"/>
      <c r="R89" s="522"/>
      <c r="S89" s="522"/>
      <c r="T89" s="522"/>
      <c r="U89" s="522"/>
      <c r="V89" s="522"/>
      <c r="W89" s="522"/>
      <c r="X89" s="522"/>
      <c r="Y89" s="522"/>
      <c r="Z89" s="522"/>
      <c r="AA89" s="523"/>
      <c r="AB89" s="1628">
        <f t="shared" si="11"/>
        <v>45.3</v>
      </c>
      <c r="AC89" s="1628"/>
      <c r="AD89" s="3320"/>
      <c r="AE89" s="1628">
        <f>+'Exhibit F'!AF80+'Exhibit G'!AG66+'Exhibit H'!AD42+'Exhibit I'!AI52</f>
        <v>-4.5999999999999996</v>
      </c>
      <c r="AF89" s="1628"/>
      <c r="AG89" s="1628"/>
      <c r="AH89" s="1628">
        <f t="shared" si="12"/>
        <v>49.9</v>
      </c>
      <c r="AI89" s="3110"/>
      <c r="AJ89" s="1721">
        <f t="shared" si="14"/>
        <v>10.848000000000001</v>
      </c>
    </row>
    <row r="90" spans="1:36" ht="16.5" customHeight="1">
      <c r="A90" s="886" t="s">
        <v>1057</v>
      </c>
      <c r="B90" s="886"/>
      <c r="C90" s="522"/>
      <c r="D90" s="522"/>
      <c r="E90" s="522"/>
      <c r="F90" s="522"/>
      <c r="G90" s="522"/>
      <c r="H90" s="522"/>
      <c r="I90" s="522"/>
      <c r="J90" s="522"/>
      <c r="K90" s="522"/>
      <c r="L90" s="522"/>
      <c r="M90" s="522"/>
      <c r="N90" s="522"/>
      <c r="O90" s="1628"/>
      <c r="P90" s="522"/>
      <c r="Q90" s="522"/>
      <c r="R90" s="522"/>
      <c r="S90" s="522"/>
      <c r="T90" s="522"/>
      <c r="U90" s="522"/>
      <c r="V90" s="522"/>
      <c r="W90" s="522"/>
      <c r="X90" s="522"/>
      <c r="Y90" s="522"/>
      <c r="Z90" s="522"/>
      <c r="AA90" s="523"/>
      <c r="AB90" s="1628"/>
      <c r="AC90" s="1628"/>
      <c r="AD90" s="3320"/>
      <c r="AE90" s="1628"/>
      <c r="AF90" s="1628"/>
      <c r="AG90" s="1628"/>
      <c r="AH90" s="1628"/>
      <c r="AI90" s="3110"/>
      <c r="AJ90" s="1716"/>
    </row>
    <row r="91" spans="1:36" ht="16.5" customHeight="1">
      <c r="A91" s="886" t="s">
        <v>955</v>
      </c>
      <c r="B91" s="886"/>
      <c r="C91" s="522">
        <f>+'Exhibit F'!D82+'Exhibit G'!D68+'Exhibit I'!E54</f>
        <v>45.8</v>
      </c>
      <c r="D91" s="522"/>
      <c r="E91" s="522"/>
      <c r="F91" s="522"/>
      <c r="G91" s="522"/>
      <c r="H91" s="522"/>
      <c r="I91" s="522"/>
      <c r="J91" s="522"/>
      <c r="K91" s="522"/>
      <c r="L91" s="522"/>
      <c r="M91" s="522"/>
      <c r="N91" s="522"/>
      <c r="O91" s="1628"/>
      <c r="P91" s="522"/>
      <c r="Q91" s="522"/>
      <c r="R91" s="522"/>
      <c r="S91" s="522"/>
      <c r="T91" s="522"/>
      <c r="U91" s="522"/>
      <c r="V91" s="522"/>
      <c r="W91" s="522"/>
      <c r="X91" s="522"/>
      <c r="Y91" s="522"/>
      <c r="Z91" s="522"/>
      <c r="AA91" s="523"/>
      <c r="AB91" s="1628">
        <f t="shared" si="11"/>
        <v>45.8</v>
      </c>
      <c r="AC91" s="1628"/>
      <c r="AD91" s="3320"/>
      <c r="AE91" s="1628">
        <f>+'Exhibit F'!AF82+'Exhibit G'!AG68+'Exhibit I'!AI54</f>
        <v>24.999999999999996</v>
      </c>
      <c r="AF91" s="1628"/>
      <c r="AG91" s="1628"/>
      <c r="AH91" s="1628">
        <f t="shared" si="12"/>
        <v>20.8</v>
      </c>
      <c r="AI91" s="3110"/>
      <c r="AJ91" s="1721">
        <f>ROUND(IF(AE91=0,0,AH91/ABS(AE91)),3)</f>
        <v>0.83199999999999996</v>
      </c>
    </row>
    <row r="92" spans="1:36" ht="16.5" customHeight="1">
      <c r="A92" s="886" t="s">
        <v>956</v>
      </c>
      <c r="B92" s="886"/>
      <c r="C92" s="522">
        <f>+'Exhibit G'!D69+'Exhibit F'!D83</f>
        <v>0.9</v>
      </c>
      <c r="D92" s="522"/>
      <c r="E92" s="522"/>
      <c r="F92" s="522"/>
      <c r="G92" s="522"/>
      <c r="H92" s="522"/>
      <c r="I92" s="522"/>
      <c r="J92" s="522"/>
      <c r="K92" s="522"/>
      <c r="L92" s="522"/>
      <c r="M92" s="522"/>
      <c r="N92" s="522"/>
      <c r="O92" s="1628"/>
      <c r="P92" s="522"/>
      <c r="Q92" s="522"/>
      <c r="R92" s="522"/>
      <c r="S92" s="522"/>
      <c r="T92" s="522"/>
      <c r="U92" s="522"/>
      <c r="V92" s="522"/>
      <c r="W92" s="522"/>
      <c r="X92" s="522"/>
      <c r="Y92" s="522"/>
      <c r="Z92" s="522"/>
      <c r="AA92" s="523"/>
      <c r="AB92" s="1628">
        <f t="shared" si="11"/>
        <v>0.9</v>
      </c>
      <c r="AC92" s="1628"/>
      <c r="AD92" s="3320"/>
      <c r="AE92" s="1628">
        <f>+'Exhibit G'!AG69+'Exhibit F'!AF83</f>
        <v>0.60000000000000009</v>
      </c>
      <c r="AF92" s="1628"/>
      <c r="AG92" s="1628"/>
      <c r="AH92" s="1628">
        <f t="shared" si="12"/>
        <v>0.3</v>
      </c>
      <c r="AI92" s="3110"/>
      <c r="AJ92" s="1716">
        <f>ROUND(IF(AE92=0,0,AH92/ABS(AE92)),3)</f>
        <v>0.5</v>
      </c>
    </row>
    <row r="93" spans="1:36" ht="16.5" customHeight="1">
      <c r="A93" s="886" t="s">
        <v>1290</v>
      </c>
      <c r="B93" s="886"/>
      <c r="C93" s="522">
        <v>0</v>
      </c>
      <c r="D93" s="522"/>
      <c r="E93" s="522"/>
      <c r="F93" s="522"/>
      <c r="G93" s="522"/>
      <c r="H93" s="522"/>
      <c r="I93" s="522"/>
      <c r="J93" s="522"/>
      <c r="K93" s="522"/>
      <c r="L93" s="522"/>
      <c r="M93" s="522"/>
      <c r="N93" s="522"/>
      <c r="O93" s="1628"/>
      <c r="P93" s="522"/>
      <c r="Q93" s="522"/>
      <c r="R93" s="522"/>
      <c r="S93" s="522"/>
      <c r="T93" s="522"/>
      <c r="U93" s="522"/>
      <c r="V93" s="522"/>
      <c r="W93" s="522"/>
      <c r="X93" s="522"/>
      <c r="Y93" s="522"/>
      <c r="Z93" s="522"/>
      <c r="AA93" s="955"/>
      <c r="AB93" s="1628">
        <f t="shared" si="11"/>
        <v>0</v>
      </c>
      <c r="AC93" s="1628"/>
      <c r="AD93" s="3320"/>
      <c r="AE93" s="1628">
        <f>'Exhibit G'!AG70</f>
        <v>0</v>
      </c>
      <c r="AF93" s="1628"/>
      <c r="AG93" s="1628"/>
      <c r="AH93" s="1628">
        <f t="shared" ref="AH93" si="15">ROUND(SUM(AB93-AE93),1)</f>
        <v>0</v>
      </c>
      <c r="AI93" s="3110"/>
      <c r="AJ93" s="1716">
        <f>ROUND(IF(AE93=0,0,AH93/ABS(AE93)),3)</f>
        <v>0</v>
      </c>
    </row>
    <row r="94" spans="1:36" ht="16.5" customHeight="1">
      <c r="A94" s="886" t="s">
        <v>957</v>
      </c>
      <c r="B94" s="886"/>
      <c r="C94" s="522">
        <f>+'Exhibit F'!D84+'Exhibit G'!D71+'Exhibit I'!E55</f>
        <v>2.5</v>
      </c>
      <c r="D94" s="522"/>
      <c r="E94" s="522"/>
      <c r="F94" s="522"/>
      <c r="G94" s="522"/>
      <c r="H94" s="522"/>
      <c r="I94" s="522"/>
      <c r="J94" s="522"/>
      <c r="K94" s="522"/>
      <c r="L94" s="522"/>
      <c r="M94" s="522"/>
      <c r="N94" s="522"/>
      <c r="O94" s="1628"/>
      <c r="P94" s="522"/>
      <c r="Q94" s="522"/>
      <c r="R94" s="522"/>
      <c r="S94" s="522"/>
      <c r="T94" s="522"/>
      <c r="U94" s="522"/>
      <c r="V94" s="522"/>
      <c r="W94" s="522"/>
      <c r="X94" s="522"/>
      <c r="Y94" s="522"/>
      <c r="Z94" s="522"/>
      <c r="AA94" s="523"/>
      <c r="AB94" s="1628">
        <f t="shared" si="11"/>
        <v>2.5</v>
      </c>
      <c r="AC94" s="1628"/>
      <c r="AD94" s="3320"/>
      <c r="AE94" s="1628">
        <f>+'Exhibit F'!AF84+'Exhibit G'!AG71+'Exhibit I'!AI55</f>
        <v>0.6</v>
      </c>
      <c r="AF94" s="1628"/>
      <c r="AG94" s="1628"/>
      <c r="AH94" s="1628">
        <f t="shared" si="12"/>
        <v>1.9</v>
      </c>
      <c r="AI94" s="3110"/>
      <c r="AJ94" s="1717">
        <f t="shared" ref="AJ94:AJ101" si="16">ROUND(IF(AE94=0,0,AH94/ABS(AE94)),3)</f>
        <v>3.1669999999999998</v>
      </c>
    </row>
    <row r="95" spans="1:36" ht="16.5" customHeight="1">
      <c r="A95" s="886" t="s">
        <v>958</v>
      </c>
      <c r="B95" s="886"/>
      <c r="C95" s="522">
        <f>+'Exhibit F'!D85+'Exhibit G'!D72+'Exhibit I'!E56</f>
        <v>4.9000000000000004</v>
      </c>
      <c r="D95" s="522"/>
      <c r="E95" s="522"/>
      <c r="F95" s="522"/>
      <c r="G95" s="522"/>
      <c r="H95" s="522"/>
      <c r="I95" s="522"/>
      <c r="J95" s="522"/>
      <c r="K95" s="522"/>
      <c r="L95" s="522"/>
      <c r="M95" s="522"/>
      <c r="N95" s="522"/>
      <c r="O95" s="1628"/>
      <c r="P95" s="522"/>
      <c r="Q95" s="522"/>
      <c r="R95" s="522"/>
      <c r="S95" s="522"/>
      <c r="T95" s="522"/>
      <c r="U95" s="522"/>
      <c r="V95" s="522"/>
      <c r="W95" s="522"/>
      <c r="X95" s="522"/>
      <c r="Y95" s="522"/>
      <c r="Z95" s="522"/>
      <c r="AA95" s="523"/>
      <c r="AB95" s="1628">
        <f>ROUND(SUM(C95:Y95),1)</f>
        <v>4.9000000000000004</v>
      </c>
      <c r="AC95" s="1628"/>
      <c r="AD95" s="3320"/>
      <c r="AE95" s="1628">
        <f>+'Exhibit F'!AF85+'Exhibit G'!AG72+'Exhibit I'!AI56</f>
        <v>5.5</v>
      </c>
      <c r="AF95" s="1628"/>
      <c r="AG95" s="1628"/>
      <c r="AH95" s="1628">
        <f t="shared" si="12"/>
        <v>-0.6</v>
      </c>
      <c r="AI95" s="3110"/>
      <c r="AJ95" s="1717">
        <f t="shared" si="16"/>
        <v>-0.109</v>
      </c>
    </row>
    <row r="96" spans="1:36" ht="16.5" customHeight="1">
      <c r="A96" s="886" t="s">
        <v>959</v>
      </c>
      <c r="B96" s="886"/>
      <c r="C96" s="522">
        <f>+'Exhibit F'!D86+'Exhibit G'!D73+'Exhibit H'!B44</f>
        <v>295.79999999999995</v>
      </c>
      <c r="D96" s="522"/>
      <c r="E96" s="522"/>
      <c r="F96" s="522"/>
      <c r="G96" s="522"/>
      <c r="H96" s="522"/>
      <c r="I96" s="522"/>
      <c r="J96" s="522"/>
      <c r="K96" s="522"/>
      <c r="L96" s="522"/>
      <c r="M96" s="522"/>
      <c r="N96" s="522"/>
      <c r="O96" s="1628"/>
      <c r="P96" s="522"/>
      <c r="Q96" s="522"/>
      <c r="R96" s="522"/>
      <c r="S96" s="522"/>
      <c r="T96" s="522"/>
      <c r="U96" s="522"/>
      <c r="V96" s="522"/>
      <c r="W96" s="522"/>
      <c r="X96" s="522"/>
      <c r="Y96" s="522"/>
      <c r="Z96" s="522"/>
      <c r="AA96" s="523"/>
      <c r="AB96" s="1628">
        <f t="shared" si="11"/>
        <v>295.8</v>
      </c>
      <c r="AC96" s="1628"/>
      <c r="AD96" s="3320"/>
      <c r="AE96" s="1628">
        <f>+'Exhibit F'!AF86+'Exhibit G'!AG73+'Exhibit H'!AD44</f>
        <v>526.5</v>
      </c>
      <c r="AF96" s="1628"/>
      <c r="AG96" s="1628"/>
      <c r="AH96" s="1628">
        <f t="shared" si="12"/>
        <v>-230.7</v>
      </c>
      <c r="AI96" s="3110"/>
      <c r="AJ96" s="1717">
        <f t="shared" si="16"/>
        <v>-0.438</v>
      </c>
    </row>
    <row r="97" spans="1:45" ht="16.5" customHeight="1">
      <c r="A97" s="886" t="s">
        <v>960</v>
      </c>
      <c r="B97" s="886"/>
      <c r="C97" s="522">
        <f>+'Exhibit G'!D74+'Exhibit F'!D87+'Exhibit I'!E57</f>
        <v>11.3</v>
      </c>
      <c r="D97" s="522"/>
      <c r="E97" s="522"/>
      <c r="F97" s="522"/>
      <c r="G97" s="522"/>
      <c r="H97" s="522"/>
      <c r="I97" s="522"/>
      <c r="J97" s="522"/>
      <c r="K97" s="522"/>
      <c r="L97" s="522"/>
      <c r="M97" s="522"/>
      <c r="N97" s="522"/>
      <c r="O97" s="1628"/>
      <c r="P97" s="522"/>
      <c r="Q97" s="522"/>
      <c r="R97" s="522"/>
      <c r="S97" s="522"/>
      <c r="T97" s="522"/>
      <c r="U97" s="522"/>
      <c r="V97" s="522"/>
      <c r="W97" s="522"/>
      <c r="X97" s="522"/>
      <c r="Y97" s="522"/>
      <c r="Z97" s="522"/>
      <c r="AA97" s="523"/>
      <c r="AB97" s="1628">
        <f t="shared" si="11"/>
        <v>11.3</v>
      </c>
      <c r="AC97" s="1628"/>
      <c r="AD97" s="3320"/>
      <c r="AE97" s="1628">
        <f>+'Exhibit G'!AG74+'Exhibit F'!AF87+'Exhibit I'!AI57</f>
        <v>7.8</v>
      </c>
      <c r="AF97" s="1628"/>
      <c r="AG97" s="1628"/>
      <c r="AH97" s="1628">
        <f t="shared" si="12"/>
        <v>3.5</v>
      </c>
      <c r="AI97" s="3110"/>
      <c r="AJ97" s="1717">
        <f t="shared" si="16"/>
        <v>0.44900000000000001</v>
      </c>
    </row>
    <row r="98" spans="1:45" ht="16.5" customHeight="1">
      <c r="A98" s="886" t="s">
        <v>961</v>
      </c>
      <c r="B98" s="886"/>
      <c r="C98" s="522">
        <f>+'Exhibit F'!D88+'Exhibit G'!D75+'Exhibit I'!E58</f>
        <v>1.5</v>
      </c>
      <c r="D98" s="522"/>
      <c r="E98" s="522"/>
      <c r="F98" s="522"/>
      <c r="G98" s="522"/>
      <c r="H98" s="522"/>
      <c r="I98" s="522"/>
      <c r="J98" s="522"/>
      <c r="K98" s="522"/>
      <c r="L98" s="522"/>
      <c r="M98" s="522"/>
      <c r="N98" s="522"/>
      <c r="O98" s="1628"/>
      <c r="P98" s="522"/>
      <c r="Q98" s="522"/>
      <c r="R98" s="522"/>
      <c r="S98" s="522"/>
      <c r="T98" s="522"/>
      <c r="U98" s="522"/>
      <c r="V98" s="522"/>
      <c r="W98" s="522"/>
      <c r="X98" s="522"/>
      <c r="Y98" s="522"/>
      <c r="Z98" s="522"/>
      <c r="AA98" s="523"/>
      <c r="AB98" s="1628">
        <f t="shared" si="11"/>
        <v>1.5</v>
      </c>
      <c r="AC98" s="1628"/>
      <c r="AD98" s="3320"/>
      <c r="AE98" s="1628">
        <f>+'Exhibit F'!AF88+'Exhibit G'!AG75+'Exhibit I'!AI58</f>
        <v>7</v>
      </c>
      <c r="AF98" s="1628"/>
      <c r="AG98" s="1628"/>
      <c r="AH98" s="1628">
        <f t="shared" si="12"/>
        <v>-5.5</v>
      </c>
      <c r="AI98" s="3110"/>
      <c r="AJ98" s="3316">
        <f t="shared" si="16"/>
        <v>-0.78600000000000003</v>
      </c>
    </row>
    <row r="99" spans="1:45" ht="16.5" customHeight="1">
      <c r="A99" s="886" t="s">
        <v>962</v>
      </c>
      <c r="B99" s="886"/>
      <c r="C99" s="522">
        <f>+'Exhibit F'!D89+'Exhibit G'!D76</f>
        <v>2.4</v>
      </c>
      <c r="D99" s="522"/>
      <c r="E99" s="522"/>
      <c r="F99" s="522"/>
      <c r="G99" s="522"/>
      <c r="H99" s="522"/>
      <c r="I99" s="522"/>
      <c r="J99" s="522"/>
      <c r="K99" s="522"/>
      <c r="L99" s="522"/>
      <c r="M99" s="522"/>
      <c r="N99" s="522"/>
      <c r="O99" s="1628"/>
      <c r="P99" s="522"/>
      <c r="Q99" s="522"/>
      <c r="R99" s="522"/>
      <c r="S99" s="522"/>
      <c r="T99" s="522"/>
      <c r="U99" s="522"/>
      <c r="V99" s="522"/>
      <c r="W99" s="522"/>
      <c r="X99" s="522"/>
      <c r="Y99" s="522"/>
      <c r="Z99" s="522"/>
      <c r="AA99" s="523"/>
      <c r="AB99" s="1628">
        <f t="shared" si="11"/>
        <v>2.4</v>
      </c>
      <c r="AC99" s="1628"/>
      <c r="AD99" s="3320"/>
      <c r="AE99" s="1628">
        <f>+'Exhibit F'!AF89+'Exhibit G'!AG76</f>
        <v>6.1</v>
      </c>
      <c r="AF99" s="1628"/>
      <c r="AG99" s="1628"/>
      <c r="AH99" s="1628">
        <f t="shared" si="12"/>
        <v>-3.7</v>
      </c>
      <c r="AI99" s="3110"/>
      <c r="AJ99" s="1717">
        <f t="shared" si="16"/>
        <v>-0.60699999999999998</v>
      </c>
    </row>
    <row r="100" spans="1:45" ht="16.5" customHeight="1">
      <c r="A100" s="886" t="s">
        <v>963</v>
      </c>
      <c r="B100" s="886"/>
      <c r="C100" s="522">
        <f>+'Exhibit F'!D90+'Exhibit G'!D77+'Exhibit I'!E59+'Exhibit H'!B45</f>
        <v>87.300000000000011</v>
      </c>
      <c r="D100" s="522"/>
      <c r="E100" s="522"/>
      <c r="F100" s="522"/>
      <c r="G100" s="522"/>
      <c r="H100" s="522"/>
      <c r="I100" s="522"/>
      <c r="J100" s="522"/>
      <c r="K100" s="522"/>
      <c r="L100" s="522"/>
      <c r="M100" s="522"/>
      <c r="N100" s="522"/>
      <c r="O100" s="1628"/>
      <c r="P100" s="522"/>
      <c r="Q100" s="522"/>
      <c r="R100" s="522"/>
      <c r="S100" s="522"/>
      <c r="T100" s="522"/>
      <c r="U100" s="522"/>
      <c r="V100" s="522"/>
      <c r="W100" s="522"/>
      <c r="X100" s="522"/>
      <c r="Y100" s="522"/>
      <c r="Z100" s="522"/>
      <c r="AA100" s="523"/>
      <c r="AB100" s="1628">
        <f t="shared" si="11"/>
        <v>87.3</v>
      </c>
      <c r="AC100" s="1628"/>
      <c r="AD100" s="3320"/>
      <c r="AE100" s="1628">
        <f>+'Exhibit F'!AF90+'Exhibit G'!AG77+'Exhibit I'!AI59+'Exhibit H'!AD45</f>
        <v>-19.499999999999996</v>
      </c>
      <c r="AF100" s="1628"/>
      <c r="AG100" s="1628"/>
      <c r="AH100" s="1628">
        <f t="shared" si="12"/>
        <v>106.8</v>
      </c>
      <c r="AI100" s="3110"/>
      <c r="AJ100" s="1717">
        <f t="shared" si="16"/>
        <v>5.4770000000000003</v>
      </c>
    </row>
    <row r="101" spans="1:45" ht="16.5" customHeight="1">
      <c r="A101" s="886" t="s">
        <v>964</v>
      </c>
      <c r="B101" s="886"/>
      <c r="C101" s="522">
        <f>+'Exhibit F'!D91+'Exhibit G'!D78+'Exhibit I'!E60+'Exhibit H'!B46</f>
        <v>2.4000000000000004</v>
      </c>
      <c r="D101" s="522"/>
      <c r="E101" s="522"/>
      <c r="F101" s="522"/>
      <c r="G101" s="522"/>
      <c r="H101" s="522"/>
      <c r="I101" s="522"/>
      <c r="J101" s="522"/>
      <c r="K101" s="522"/>
      <c r="L101" s="522"/>
      <c r="M101" s="522"/>
      <c r="N101" s="522"/>
      <c r="O101" s="1628"/>
      <c r="P101" s="522"/>
      <c r="Q101" s="522"/>
      <c r="R101" s="522"/>
      <c r="S101" s="522"/>
      <c r="T101" s="522"/>
      <c r="U101" s="522"/>
      <c r="V101" s="522"/>
      <c r="W101" s="522"/>
      <c r="X101" s="522"/>
      <c r="Y101" s="522"/>
      <c r="Z101" s="522"/>
      <c r="AA101" s="523"/>
      <c r="AB101" s="1628">
        <f t="shared" si="11"/>
        <v>2.4</v>
      </c>
      <c r="AC101" s="1628"/>
      <c r="AD101" s="3320"/>
      <c r="AE101" s="1628">
        <f>+'Exhibit F'!AF91+'Exhibit G'!AG78+'Exhibit I'!AI60+'Exhibit H'!AD46</f>
        <v>0.5</v>
      </c>
      <c r="AF101" s="1628"/>
      <c r="AG101" s="1628"/>
      <c r="AH101" s="1628">
        <f t="shared" si="12"/>
        <v>1.9</v>
      </c>
      <c r="AI101" s="3110"/>
      <c r="AJ101" s="1717">
        <f t="shared" si="16"/>
        <v>3.8</v>
      </c>
    </row>
    <row r="102" spans="1:45" ht="16.5" customHeight="1">
      <c r="A102" s="886" t="s">
        <v>965</v>
      </c>
      <c r="B102" s="886"/>
      <c r="C102" s="522">
        <f>+'Exhibit G'!D79</f>
        <v>-75.7</v>
      </c>
      <c r="D102" s="522"/>
      <c r="E102" s="522"/>
      <c r="F102" s="522"/>
      <c r="G102" s="522"/>
      <c r="H102" s="522"/>
      <c r="I102" s="522"/>
      <c r="J102" s="522"/>
      <c r="K102" s="522"/>
      <c r="L102" s="522"/>
      <c r="M102" s="522"/>
      <c r="N102" s="522"/>
      <c r="O102" s="1628"/>
      <c r="P102" s="522"/>
      <c r="Q102" s="522"/>
      <c r="R102" s="522"/>
      <c r="S102" s="522"/>
      <c r="T102" s="522"/>
      <c r="U102" s="522"/>
      <c r="V102" s="522"/>
      <c r="W102" s="522"/>
      <c r="X102" s="522"/>
      <c r="Y102" s="522"/>
      <c r="Z102" s="522"/>
      <c r="AA102" s="523"/>
      <c r="AB102" s="1628">
        <f t="shared" si="11"/>
        <v>-75.7</v>
      </c>
      <c r="AC102" s="1628"/>
      <c r="AD102" s="3320"/>
      <c r="AE102" s="1628">
        <f>+'Exhibit G'!AG79</f>
        <v>-67.5</v>
      </c>
      <c r="AF102" s="1628"/>
      <c r="AG102" s="1628"/>
      <c r="AH102" s="1628">
        <f t="shared" si="12"/>
        <v>-8.1999999999999993</v>
      </c>
      <c r="AI102" s="3110"/>
      <c r="AJ102" s="1717">
        <f>ROUND(IF(AE102=0,0,AH102/ABS(AE102)),3)</f>
        <v>-0.121</v>
      </c>
    </row>
    <row r="103" spans="1:45" s="428" customFormat="1" ht="16.5" customHeight="1">
      <c r="A103" s="310" t="s">
        <v>999</v>
      </c>
      <c r="B103" s="209"/>
      <c r="C103" s="258">
        <f>ROUND(SUM(C62:C102),1)</f>
        <v>1729.5</v>
      </c>
      <c r="D103" s="1063"/>
      <c r="E103" s="258">
        <f>ROUND(SUM(E62:E102),1)</f>
        <v>0</v>
      </c>
      <c r="F103" s="1063"/>
      <c r="G103" s="258">
        <f>ROUND(SUM(G62:G102),1)</f>
        <v>0</v>
      </c>
      <c r="H103" s="916"/>
      <c r="I103" s="258">
        <f>ROUND(SUM(I62:I102),1)</f>
        <v>0</v>
      </c>
      <c r="J103" s="916"/>
      <c r="K103" s="258">
        <f>ROUND(SUM(K62:K102),1)</f>
        <v>0</v>
      </c>
      <c r="L103" s="916"/>
      <c r="M103" s="258">
        <f>ROUND(SUM(M62:M102),1)</f>
        <v>0</v>
      </c>
      <c r="N103" s="916"/>
      <c r="O103" s="2049">
        <f>ROUND(SUM(O62:O102),1)</f>
        <v>0</v>
      </c>
      <c r="P103" s="916"/>
      <c r="Q103" s="2049">
        <f>ROUND(SUM(Q62:Q102),1)</f>
        <v>0</v>
      </c>
      <c r="R103" s="916"/>
      <c r="S103" s="258">
        <f>ROUND(SUM(S62:S102),1)</f>
        <v>0</v>
      </c>
      <c r="T103" s="916"/>
      <c r="U103" s="258">
        <f>ROUND(SUM(U62:U102),1)</f>
        <v>0</v>
      </c>
      <c r="V103" s="916"/>
      <c r="W103" s="258">
        <f>ROUND(SUM(W62:W102),1)</f>
        <v>0</v>
      </c>
      <c r="X103" s="207"/>
      <c r="Y103" s="258">
        <f>ROUND(SUM(Y62:Y102),1)</f>
        <v>0</v>
      </c>
      <c r="Z103" s="207"/>
      <c r="AA103" s="259"/>
      <c r="AB103" s="1531">
        <f>ROUND(SUM(AB62:AB102),1)</f>
        <v>1729.5</v>
      </c>
      <c r="AC103" s="112"/>
      <c r="AD103" s="674"/>
      <c r="AE103" s="1531">
        <f>ROUND(SUM(AE62:AE102),1)</f>
        <v>2637.2</v>
      </c>
      <c r="AF103" s="115"/>
      <c r="AG103" s="3322"/>
      <c r="AH103" s="1531">
        <f>ROUND(SUM(AH62:AH102),1)</f>
        <v>-907.7</v>
      </c>
      <c r="AI103" s="115"/>
      <c r="AJ103" s="3317">
        <f>ROUND(IF(AE103=0,0,AH103/ABS(AE103)),3)</f>
        <v>-0.34399999999999997</v>
      </c>
      <c r="AK103" s="3310"/>
    </row>
    <row r="104" spans="1:45" s="428" customFormat="1" ht="16.5" customHeight="1">
      <c r="A104" s="514"/>
      <c r="B104" s="514"/>
      <c r="C104" s="526"/>
      <c r="D104" s="526"/>
      <c r="E104" s="526"/>
      <c r="F104" s="526"/>
      <c r="G104" s="526"/>
      <c r="H104" s="526"/>
      <c r="I104" s="526"/>
      <c r="J104" s="526"/>
      <c r="K104" s="526"/>
      <c r="L104" s="526"/>
      <c r="M104" s="526"/>
      <c r="N104" s="526"/>
      <c r="O104" s="3118"/>
      <c r="P104" s="526"/>
      <c r="Q104" s="3118"/>
      <c r="R104" s="526"/>
      <c r="S104" s="526"/>
      <c r="T104" s="526"/>
      <c r="U104" s="526"/>
      <c r="V104" s="526"/>
      <c r="W104" s="526"/>
      <c r="X104" s="526"/>
      <c r="Y104" s="526"/>
      <c r="Z104" s="526"/>
      <c r="AA104" s="527"/>
      <c r="AB104" s="3118"/>
      <c r="AC104" s="3119"/>
      <c r="AD104" s="3323"/>
      <c r="AE104" s="3118"/>
      <c r="AF104" s="3119"/>
      <c r="AG104" s="3118"/>
      <c r="AH104" s="3118"/>
      <c r="AI104" s="3111"/>
      <c r="AJ104" s="3309"/>
      <c r="AK104" s="3310"/>
    </row>
    <row r="105" spans="1:45" ht="16.5" customHeight="1">
      <c r="A105" s="225" t="s">
        <v>20</v>
      </c>
      <c r="B105" s="225"/>
      <c r="C105" s="524">
        <f>+'Exhibit F'!D94+'Exhibit G'!D82+'Exhibit H'!B49+'Exhibit I'!E63</f>
        <v>7164.2</v>
      </c>
      <c r="D105" s="522"/>
      <c r="E105" s="524"/>
      <c r="F105" s="522"/>
      <c r="G105" s="524"/>
      <c r="H105" s="522"/>
      <c r="I105" s="524"/>
      <c r="J105" s="522"/>
      <c r="K105" s="524"/>
      <c r="L105" s="522"/>
      <c r="M105" s="524"/>
      <c r="N105" s="522"/>
      <c r="O105" s="3833"/>
      <c r="P105" s="522"/>
      <c r="Q105" s="524"/>
      <c r="R105" s="522"/>
      <c r="S105" s="524"/>
      <c r="T105" s="522"/>
      <c r="U105" s="524"/>
      <c r="V105" s="522"/>
      <c r="W105" s="524"/>
      <c r="X105" s="522"/>
      <c r="Y105" s="524"/>
      <c r="Z105" s="522"/>
      <c r="AA105" s="523"/>
      <c r="AB105" s="3120">
        <f>ROUND(SUM(C105:Y105),1)</f>
        <v>7164.2</v>
      </c>
      <c r="AC105" s="1628"/>
      <c r="AD105" s="3320"/>
      <c r="AE105" s="3833">
        <f>+'Exhibit F'!AF94+'Exhibit G'!AG82+'Exhibit H'!AD49+'Exhibit I'!AI63</f>
        <v>10863.1</v>
      </c>
      <c r="AF105" s="2160"/>
      <c r="AG105" s="1628"/>
      <c r="AH105" s="3120">
        <f>ROUND(SUM(AB105-AE105),1)</f>
        <v>-3698.9</v>
      </c>
      <c r="AI105" s="3110"/>
      <c r="AJ105" s="3324">
        <f>ROUND(IF(AE105=0,0,AH105/ABS(AE105)),3)</f>
        <v>-0.34100000000000003</v>
      </c>
    </row>
    <row r="106" spans="1:45" ht="16.5" customHeight="1">
      <c r="A106" s="225"/>
      <c r="B106" s="225"/>
      <c r="C106" s="522"/>
      <c r="D106" s="522"/>
      <c r="E106" s="522"/>
      <c r="F106" s="522"/>
      <c r="G106" s="522"/>
      <c r="H106" s="522"/>
      <c r="I106" s="522"/>
      <c r="J106" s="522"/>
      <c r="K106" s="522"/>
      <c r="L106" s="522"/>
      <c r="M106" s="522"/>
      <c r="N106" s="522"/>
      <c r="O106" s="1628"/>
      <c r="P106" s="522"/>
      <c r="Q106" s="1628"/>
      <c r="R106" s="522"/>
      <c r="S106" s="522"/>
      <c r="T106" s="522"/>
      <c r="U106" s="522"/>
      <c r="V106" s="522"/>
      <c r="W106" s="522"/>
      <c r="X106" s="522"/>
      <c r="Y106" s="522"/>
      <c r="Z106" s="522"/>
      <c r="AA106" s="523"/>
      <c r="AB106" s="1628"/>
      <c r="AC106" s="1628"/>
      <c r="AD106" s="3320"/>
      <c r="AE106" s="1628"/>
      <c r="AF106" s="2160"/>
      <c r="AG106" s="1628"/>
      <c r="AH106" s="1628"/>
      <c r="AI106" s="3110"/>
      <c r="AJ106" s="3325"/>
    </row>
    <row r="107" spans="1:45" ht="16.5" customHeight="1">
      <c r="A107" s="29" t="s">
        <v>149</v>
      </c>
      <c r="B107" s="30"/>
      <c r="C107" s="823">
        <f>ROUND(SUM(C105+C103+C58),1)</f>
        <v>18085.7</v>
      </c>
      <c r="D107" s="916"/>
      <c r="E107" s="823">
        <f>ROUND(SUM(E105+E103+E58),1)</f>
        <v>0</v>
      </c>
      <c r="F107" s="916"/>
      <c r="G107" s="823">
        <f>ROUND(SUM(G105+G103+G58),1)</f>
        <v>0</v>
      </c>
      <c r="H107" s="916"/>
      <c r="I107" s="823">
        <f>ROUND(SUM(I105+I103+I58),1)</f>
        <v>0</v>
      </c>
      <c r="J107" s="916"/>
      <c r="K107" s="823">
        <f>ROUND(SUM(K105+K103+K58),1)</f>
        <v>0</v>
      </c>
      <c r="L107" s="916"/>
      <c r="M107" s="823">
        <f>ROUND(SUM(M105+M103+M58),1)</f>
        <v>0</v>
      </c>
      <c r="N107" s="916"/>
      <c r="O107" s="1101">
        <f>ROUND(SUM(O105+O103+O58),1)</f>
        <v>0</v>
      </c>
      <c r="P107" s="916"/>
      <c r="Q107" s="1101">
        <f>ROUND(SUM(Q105+Q103+Q58),1)</f>
        <v>0</v>
      </c>
      <c r="R107" s="916"/>
      <c r="S107" s="823">
        <f>ROUND(SUM(S105+S103+S58),1)</f>
        <v>0</v>
      </c>
      <c r="T107" s="916"/>
      <c r="U107" s="823">
        <f>ROUND(SUM(U105+U103+U58),1)</f>
        <v>0</v>
      </c>
      <c r="V107" s="916"/>
      <c r="W107" s="823">
        <f>ROUND(SUM(W105+W103+W58),1)</f>
        <v>0</v>
      </c>
      <c r="X107" s="207"/>
      <c r="Y107" s="823">
        <f>ROUND(SUM(Y105+Y103+Y58),1)</f>
        <v>0</v>
      </c>
      <c r="Z107" s="253"/>
      <c r="AA107" s="254"/>
      <c r="AB107" s="1101">
        <f>ROUND(SUM(AB105+AB103+AB58),1)</f>
        <v>18085.7</v>
      </c>
      <c r="AC107" s="112"/>
      <c r="AD107" s="674"/>
      <c r="AE107" s="1101">
        <f>ROUND(SUM(AE105+AE103+AE58),1)</f>
        <v>17158.3</v>
      </c>
      <c r="AF107" s="115"/>
      <c r="AG107" s="3322"/>
      <c r="AH107" s="1101">
        <f>ROUND(SUM(AH105+AH103+AH58),1)</f>
        <v>927.4</v>
      </c>
      <c r="AI107" s="115"/>
      <c r="AJ107" s="3319">
        <f>ROUND(IF(AE107=0,0,AH107/ABS(AE107)),3)</f>
        <v>5.3999999999999999E-2</v>
      </c>
      <c r="AK107" s="3310"/>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21"/>
      <c r="P108" s="522"/>
      <c r="Q108" s="3121"/>
      <c r="R108" s="522"/>
      <c r="S108" s="528"/>
      <c r="T108" s="522"/>
      <c r="U108" s="528"/>
      <c r="V108" s="522"/>
      <c r="W108" s="528"/>
      <c r="X108" s="522"/>
      <c r="Y108" s="528"/>
      <c r="Z108" s="522"/>
      <c r="AA108" s="523"/>
      <c r="AB108" s="3121"/>
      <c r="AC108" s="1628"/>
      <c r="AD108" s="3320"/>
      <c r="AE108" s="3121"/>
      <c r="AF108" s="1628"/>
      <c r="AG108" s="1628"/>
      <c r="AH108" s="889"/>
      <c r="AI108" s="3110"/>
      <c r="AJ108" s="885"/>
    </row>
    <row r="109" spans="1:45" ht="16.5" customHeight="1">
      <c r="A109" s="207" t="s">
        <v>22</v>
      </c>
      <c r="B109" s="225"/>
      <c r="C109" s="529"/>
      <c r="D109" s="522"/>
      <c r="E109" s="529"/>
      <c r="F109" s="522"/>
      <c r="G109" s="529"/>
      <c r="H109" s="522"/>
      <c r="I109" s="529"/>
      <c r="J109" s="522"/>
      <c r="K109" s="529"/>
      <c r="L109" s="522"/>
      <c r="M109" s="529"/>
      <c r="N109" s="522"/>
      <c r="O109" s="2160"/>
      <c r="P109" s="522"/>
      <c r="Q109" s="2160"/>
      <c r="R109" s="522"/>
      <c r="S109" s="529"/>
      <c r="T109" s="522"/>
      <c r="U109" s="529"/>
      <c r="V109" s="522"/>
      <c r="W109" s="529"/>
      <c r="X109" s="522"/>
      <c r="Y109" s="529"/>
      <c r="Z109" s="522"/>
      <c r="AA109" s="523"/>
      <c r="AB109" s="2160"/>
      <c r="AC109" s="1628"/>
      <c r="AD109" s="3320"/>
      <c r="AE109" s="2160"/>
      <c r="AF109" s="1628"/>
      <c r="AG109" s="1628"/>
      <c r="AH109" s="889"/>
      <c r="AI109" s="3110"/>
      <c r="AJ109" s="885"/>
    </row>
    <row r="110" spans="1:45" ht="16.5" customHeight="1">
      <c r="A110" s="225" t="s">
        <v>136</v>
      </c>
      <c r="B110" s="225"/>
      <c r="C110" s="522"/>
      <c r="D110" s="522"/>
      <c r="E110" s="522"/>
      <c r="F110" s="522"/>
      <c r="G110" s="522"/>
      <c r="H110" s="522"/>
      <c r="I110" s="522"/>
      <c r="J110" s="522"/>
      <c r="K110" s="522"/>
      <c r="L110" s="522"/>
      <c r="M110" s="522"/>
      <c r="N110" s="522"/>
      <c r="O110" s="1628"/>
      <c r="P110" s="522"/>
      <c r="Q110" s="1628"/>
      <c r="R110" s="522"/>
      <c r="S110" s="522"/>
      <c r="T110" s="522"/>
      <c r="U110" s="522"/>
      <c r="V110" s="522"/>
      <c r="W110" s="522"/>
      <c r="X110" s="522"/>
      <c r="Y110" s="522"/>
      <c r="Z110" s="522"/>
      <c r="AA110" s="523"/>
      <c r="AB110" s="1628"/>
      <c r="AC110" s="1628"/>
      <c r="AD110" s="3320"/>
      <c r="AE110" s="118"/>
      <c r="AF110" s="1628"/>
      <c r="AG110" s="1628"/>
      <c r="AH110" s="1628"/>
      <c r="AI110" s="3110"/>
      <c r="AJ110" s="3321"/>
    </row>
    <row r="111" spans="1:45" ht="16.5" customHeight="1">
      <c r="A111" s="256" t="s">
        <v>24</v>
      </c>
      <c r="B111" s="225"/>
      <c r="C111" s="522">
        <f>+'Exhibit F'!D100+'Exhibit G'!D88+'Exhibit I'!E69</f>
        <v>810.59999999999991</v>
      </c>
      <c r="D111" s="522"/>
      <c r="E111" s="522"/>
      <c r="F111" s="522"/>
      <c r="G111" s="522"/>
      <c r="H111" s="522"/>
      <c r="I111" s="522"/>
      <c r="J111" s="522"/>
      <c r="K111" s="522"/>
      <c r="L111" s="522"/>
      <c r="M111" s="522"/>
      <c r="N111" s="522"/>
      <c r="O111" s="1628"/>
      <c r="P111" s="522"/>
      <c r="Q111" s="522"/>
      <c r="R111" s="522"/>
      <c r="S111" s="522"/>
      <c r="T111" s="522"/>
      <c r="U111" s="522"/>
      <c r="V111" s="522"/>
      <c r="W111" s="522"/>
      <c r="X111" s="522"/>
      <c r="Y111" s="522"/>
      <c r="Z111" s="522"/>
      <c r="AA111" s="523"/>
      <c r="AB111" s="118">
        <f>ROUND(SUM(C111:Y111),1)</f>
        <v>810.6</v>
      </c>
      <c r="AC111" s="1628"/>
      <c r="AD111" s="3320"/>
      <c r="AE111" s="118">
        <f>+'Exhibit F'!AF100+'Exhibit G'!AG88+'Exhibit I'!AI69</f>
        <v>1149.2</v>
      </c>
      <c r="AF111" s="1628"/>
      <c r="AG111" s="1628"/>
      <c r="AH111" s="1628">
        <f>ROUND(SUM(AB111-AE111),1)</f>
        <v>-338.6</v>
      </c>
      <c r="AI111" s="3110"/>
      <c r="AJ111" s="1717">
        <f>ROUND(IF(AE111=0,0,AH111/ABS(AE111)),3)</f>
        <v>-0.29499999999999998</v>
      </c>
    </row>
    <row r="112" spans="1:45" ht="16.5" customHeight="1">
      <c r="A112" s="256" t="s">
        <v>25</v>
      </c>
      <c r="B112" s="225"/>
      <c r="C112" s="522">
        <f>+'Exhibit F'!D101+'Exhibit G'!D89+'Exhibit I'!E70</f>
        <v>29.4</v>
      </c>
      <c r="D112" s="522"/>
      <c r="E112" s="522"/>
      <c r="F112" s="522"/>
      <c r="G112" s="522"/>
      <c r="H112" s="522"/>
      <c r="I112" s="522"/>
      <c r="J112" s="522"/>
      <c r="K112" s="522"/>
      <c r="L112" s="522"/>
      <c r="M112" s="522"/>
      <c r="N112" s="522"/>
      <c r="O112" s="1628"/>
      <c r="P112" s="522"/>
      <c r="Q112" s="522"/>
      <c r="R112" s="522"/>
      <c r="S112" s="522"/>
      <c r="T112" s="522"/>
      <c r="U112" s="522"/>
      <c r="V112" s="522"/>
      <c r="W112" s="522"/>
      <c r="X112" s="522"/>
      <c r="Y112" s="522"/>
      <c r="Z112" s="522"/>
      <c r="AA112" s="523"/>
      <c r="AB112" s="118">
        <f t="shared" ref="AB112:AB119" si="17">ROUND(SUM(C112:Y112),1)</f>
        <v>29.4</v>
      </c>
      <c r="AC112" s="1628"/>
      <c r="AD112" s="3320"/>
      <c r="AE112" s="118">
        <f>+'Exhibit F'!AF101+'Exhibit G'!AG89+'Exhibit I'!AI70</f>
        <v>4.5</v>
      </c>
      <c r="AF112" s="1628"/>
      <c r="AG112" s="1628"/>
      <c r="AH112" s="1628">
        <f t="shared" ref="AH112:AH119" si="18">ROUND(SUM(AB112-AE112),1)</f>
        <v>24.9</v>
      </c>
      <c r="AI112" s="3110"/>
      <c r="AJ112" s="1717">
        <f>ROUND(IF(AE112=0,0,AH112/ABS(AE112)),3)</f>
        <v>5.5330000000000004</v>
      </c>
    </row>
    <row r="113" spans="1:38" ht="16.5" customHeight="1">
      <c r="A113" s="256" t="s">
        <v>26</v>
      </c>
      <c r="B113" s="225"/>
      <c r="C113" s="522">
        <f>+'Exhibit F'!D102+'Exhibit G'!D90+'Exhibit I'!E71</f>
        <v>36.899999999999991</v>
      </c>
      <c r="D113" s="522"/>
      <c r="E113" s="522"/>
      <c r="F113" s="522"/>
      <c r="G113" s="522"/>
      <c r="H113" s="522"/>
      <c r="I113" s="522"/>
      <c r="J113" s="522"/>
      <c r="K113" s="522"/>
      <c r="L113" s="522"/>
      <c r="M113" s="522"/>
      <c r="N113" s="522"/>
      <c r="O113" s="1628"/>
      <c r="P113" s="522"/>
      <c r="Q113" s="522"/>
      <c r="R113" s="522"/>
      <c r="S113" s="522"/>
      <c r="T113" s="522"/>
      <c r="U113" s="522"/>
      <c r="V113" s="522"/>
      <c r="W113" s="522"/>
      <c r="X113" s="522"/>
      <c r="Y113" s="522"/>
      <c r="Z113" s="522"/>
      <c r="AA113" s="523"/>
      <c r="AB113" s="118">
        <f t="shared" si="17"/>
        <v>36.9</v>
      </c>
      <c r="AC113" s="1628"/>
      <c r="AD113" s="3320"/>
      <c r="AE113" s="118">
        <f>+'Exhibit F'!AF102+'Exhibit G'!AG90+'Exhibit I'!AI71</f>
        <v>48.5</v>
      </c>
      <c r="AF113" s="1628"/>
      <c r="AG113" s="1628"/>
      <c r="AH113" s="1628">
        <f t="shared" si="18"/>
        <v>-11.6</v>
      </c>
      <c r="AI113" s="3110"/>
      <c r="AJ113" s="1717">
        <f>ROUND(IF(AE113=0,0,AH113/ABS(AE113)),3)</f>
        <v>-0.23899999999999999</v>
      </c>
    </row>
    <row r="114" spans="1:38" ht="16.5" customHeight="1">
      <c r="A114" s="256" t="s">
        <v>27</v>
      </c>
      <c r="B114" s="225"/>
      <c r="C114" s="522"/>
      <c r="D114" s="522"/>
      <c r="E114" s="522"/>
      <c r="F114" s="522"/>
      <c r="G114" s="522"/>
      <c r="H114" s="522"/>
      <c r="I114" s="522"/>
      <c r="J114" s="522"/>
      <c r="K114" s="522"/>
      <c r="L114" s="522"/>
      <c r="M114" s="522"/>
      <c r="N114" s="522"/>
      <c r="O114" s="1628"/>
      <c r="P114" s="522"/>
      <c r="Q114" s="522"/>
      <c r="R114" s="522"/>
      <c r="S114" s="522"/>
      <c r="T114" s="522"/>
      <c r="U114" s="522"/>
      <c r="V114" s="522"/>
      <c r="W114" s="522"/>
      <c r="X114" s="522"/>
      <c r="Y114" s="522"/>
      <c r="Z114" s="522"/>
      <c r="AA114" s="523"/>
      <c r="AB114" s="118"/>
      <c r="AC114" s="1628"/>
      <c r="AD114" s="3320"/>
      <c r="AE114" s="357"/>
      <c r="AF114" s="1628"/>
      <c r="AG114" s="1628"/>
      <c r="AH114" s="1628" t="s">
        <v>14</v>
      </c>
      <c r="AI114" s="3110"/>
      <c r="AJ114" s="3321"/>
    </row>
    <row r="115" spans="1:38" ht="16.5" customHeight="1">
      <c r="A115" s="257" t="s">
        <v>28</v>
      </c>
      <c r="B115" s="225"/>
      <c r="C115" s="522">
        <f>+'Exhibit F'!D104+'Exhibit G'!D92+'Exhibit I'!E73</f>
        <v>6499.1</v>
      </c>
      <c r="D115" s="522"/>
      <c r="E115" s="522"/>
      <c r="F115" s="522"/>
      <c r="G115" s="522"/>
      <c r="H115" s="522"/>
      <c r="I115" s="522"/>
      <c r="J115" s="522"/>
      <c r="K115" s="522"/>
      <c r="L115" s="522"/>
      <c r="M115" s="522"/>
      <c r="N115" s="522"/>
      <c r="O115" s="1628"/>
      <c r="P115" s="522"/>
      <c r="Q115" s="522"/>
      <c r="R115" s="522"/>
      <c r="S115" s="522"/>
      <c r="T115" s="522"/>
      <c r="U115" s="522"/>
      <c r="V115" s="522"/>
      <c r="W115" s="522"/>
      <c r="X115" s="522"/>
      <c r="Y115" s="522"/>
      <c r="Z115" s="522"/>
      <c r="AA115" s="523"/>
      <c r="AB115" s="118">
        <f t="shared" si="17"/>
        <v>6499.1</v>
      </c>
      <c r="AC115" s="1628"/>
      <c r="AD115" s="3320"/>
      <c r="AE115" s="118">
        <f>+'Exhibit F'!AF104+'Exhibit G'!AG92+'Exhibit I'!AI73</f>
        <v>5410.3</v>
      </c>
      <c r="AF115" s="1628"/>
      <c r="AG115" s="1628"/>
      <c r="AH115" s="1628">
        <f t="shared" si="18"/>
        <v>1088.8</v>
      </c>
      <c r="AI115" s="3110"/>
      <c r="AJ115" s="1717">
        <f t="shared" ref="AJ115:AJ121" si="19">ROUND(IF(AE115=0,0,AH115/ABS(AE115)),3)</f>
        <v>0.20100000000000001</v>
      </c>
      <c r="AK115" s="3326"/>
    </row>
    <row r="116" spans="1:38" ht="16.5" customHeight="1">
      <c r="A116" s="256" t="s">
        <v>29</v>
      </c>
      <c r="B116" s="225"/>
      <c r="C116" s="522">
        <f>+'Exhibit F'!D105+'Exhibit G'!D93+'Exhibit I'!E74</f>
        <v>651.9</v>
      </c>
      <c r="D116" s="522"/>
      <c r="E116" s="522"/>
      <c r="F116" s="522"/>
      <c r="G116" s="522"/>
      <c r="H116" s="522"/>
      <c r="I116" s="522"/>
      <c r="J116" s="522"/>
      <c r="K116" s="522"/>
      <c r="L116" s="522"/>
      <c r="M116" s="522"/>
      <c r="N116" s="522"/>
      <c r="O116" s="1628"/>
      <c r="P116" s="522"/>
      <c r="Q116" s="522"/>
      <c r="R116" s="522"/>
      <c r="S116" s="522"/>
      <c r="T116" s="522"/>
      <c r="U116" s="522"/>
      <c r="V116" s="522"/>
      <c r="W116" s="522"/>
      <c r="X116" s="522"/>
      <c r="Y116" s="522"/>
      <c r="Z116" s="522"/>
      <c r="AA116" s="523"/>
      <c r="AB116" s="118">
        <f t="shared" si="17"/>
        <v>651.9</v>
      </c>
      <c r="AC116" s="3122"/>
      <c r="AD116" s="1628"/>
      <c r="AE116" s="118">
        <f>+'Exhibit F'!AF105+'Exhibit G'!AG93+'Exhibit I'!AI74</f>
        <v>602.5</v>
      </c>
      <c r="AF116" s="1628"/>
      <c r="AG116" s="1628"/>
      <c r="AH116" s="1628">
        <f t="shared" si="18"/>
        <v>49.4</v>
      </c>
      <c r="AI116" s="3110"/>
      <c r="AJ116" s="1717">
        <f t="shared" si="19"/>
        <v>8.2000000000000003E-2</v>
      </c>
    </row>
    <row r="117" spans="1:38" ht="16.5" customHeight="1">
      <c r="A117" s="256" t="s">
        <v>30</v>
      </c>
      <c r="B117" s="225"/>
      <c r="C117" s="522">
        <f>+'Exhibit F'!D106+'Exhibit G'!D94+'Exhibit I'!E75</f>
        <v>128.1</v>
      </c>
      <c r="D117" s="522"/>
      <c r="E117" s="522"/>
      <c r="F117" s="522"/>
      <c r="G117" s="522"/>
      <c r="H117" s="522"/>
      <c r="I117" s="522"/>
      <c r="J117" s="522"/>
      <c r="K117" s="522"/>
      <c r="L117" s="522"/>
      <c r="M117" s="522"/>
      <c r="N117" s="522"/>
      <c r="O117" s="1628"/>
      <c r="P117" s="522"/>
      <c r="Q117" s="522"/>
      <c r="R117" s="522"/>
      <c r="S117" s="522"/>
      <c r="T117" s="522"/>
      <c r="U117" s="522"/>
      <c r="V117" s="522"/>
      <c r="W117" s="522"/>
      <c r="X117" s="522"/>
      <c r="Y117" s="522"/>
      <c r="Z117" s="522"/>
      <c r="AA117" s="523"/>
      <c r="AB117" s="118">
        <f t="shared" si="17"/>
        <v>128.1</v>
      </c>
      <c r="AC117" s="3123"/>
      <c r="AD117" s="3320"/>
      <c r="AE117" s="118">
        <f>+'Exhibit F'!AF106+'Exhibit G'!AG94+'Exhibit I'!AI75</f>
        <v>95.300000000000011</v>
      </c>
      <c r="AF117" s="1628"/>
      <c r="AG117" s="1628"/>
      <c r="AH117" s="1628">
        <f t="shared" si="18"/>
        <v>32.799999999999997</v>
      </c>
      <c r="AI117" s="3110"/>
      <c r="AJ117" s="1717">
        <f t="shared" si="19"/>
        <v>0.34399999999999997</v>
      </c>
    </row>
    <row r="118" spans="1:38" ht="16.5" customHeight="1">
      <c r="A118" s="256" t="s">
        <v>31</v>
      </c>
      <c r="B118" s="225"/>
      <c r="C118" s="522">
        <f>+'Exhibit F'!D107+'Exhibit G'!D95+'Exhibit I'!E76</f>
        <v>230.2</v>
      </c>
      <c r="D118" s="522"/>
      <c r="E118" s="522"/>
      <c r="F118" s="522"/>
      <c r="G118" s="522"/>
      <c r="H118" s="522"/>
      <c r="I118" s="522"/>
      <c r="J118" s="522"/>
      <c r="K118" s="522"/>
      <c r="L118" s="522"/>
      <c r="M118" s="522"/>
      <c r="N118" s="522"/>
      <c r="O118" s="1628"/>
      <c r="P118" s="522"/>
      <c r="Q118" s="522"/>
      <c r="R118" s="522"/>
      <c r="S118" s="522"/>
      <c r="T118" s="522"/>
      <c r="U118" s="522"/>
      <c r="V118" s="522"/>
      <c r="W118" s="522"/>
      <c r="X118" s="522"/>
      <c r="Y118" s="522"/>
      <c r="Z118" s="522"/>
      <c r="AA118" s="523"/>
      <c r="AB118" s="118">
        <f t="shared" si="17"/>
        <v>230.2</v>
      </c>
      <c r="AC118" s="3123"/>
      <c r="AD118" s="3320"/>
      <c r="AE118" s="118">
        <f>+'Exhibit F'!AF107+'Exhibit G'!AG95+'Exhibit I'!AI76</f>
        <v>211.8</v>
      </c>
      <c r="AF118" s="1628"/>
      <c r="AG118" s="1628"/>
      <c r="AH118" s="1628">
        <f t="shared" si="18"/>
        <v>18.399999999999999</v>
      </c>
      <c r="AI118" s="3110"/>
      <c r="AJ118" s="1717">
        <f t="shared" si="19"/>
        <v>8.6999999999999994E-2</v>
      </c>
    </row>
    <row r="119" spans="1:38" ht="16.5" customHeight="1">
      <c r="A119" s="256" t="s">
        <v>32</v>
      </c>
      <c r="B119" s="225"/>
      <c r="C119" s="522">
        <f>+'Exhibit F'!D108+'Exhibit G'!D96+'Exhibit I'!E77</f>
        <v>26.700000000000003</v>
      </c>
      <c r="D119" s="522"/>
      <c r="E119" s="522"/>
      <c r="F119" s="522"/>
      <c r="G119" s="522"/>
      <c r="H119" s="522"/>
      <c r="I119" s="522"/>
      <c r="J119" s="522"/>
      <c r="K119" s="522"/>
      <c r="L119" s="522"/>
      <c r="M119" s="522"/>
      <c r="N119" s="522"/>
      <c r="O119" s="1628"/>
      <c r="P119" s="522"/>
      <c r="Q119" s="522"/>
      <c r="R119" s="522"/>
      <c r="S119" s="522"/>
      <c r="T119" s="522"/>
      <c r="U119" s="522"/>
      <c r="V119" s="522"/>
      <c r="W119" s="522"/>
      <c r="X119" s="522"/>
      <c r="Y119" s="522"/>
      <c r="Z119" s="522"/>
      <c r="AA119" s="523"/>
      <c r="AB119" s="118">
        <f t="shared" si="17"/>
        <v>26.7</v>
      </c>
      <c r="AC119" s="3123"/>
      <c r="AD119" s="3320"/>
      <c r="AE119" s="118">
        <f>+'Exhibit F'!AF108+'Exhibit G'!AG96+'Exhibit I'!AI77</f>
        <v>48.1</v>
      </c>
      <c r="AF119" s="1628"/>
      <c r="AG119" s="1628"/>
      <c r="AH119" s="1628">
        <f t="shared" si="18"/>
        <v>-21.4</v>
      </c>
      <c r="AI119" s="3110"/>
      <c r="AJ119" s="1717">
        <f t="shared" si="19"/>
        <v>-0.44500000000000001</v>
      </c>
    </row>
    <row r="120" spans="1:38" ht="16.5" customHeight="1">
      <c r="A120" s="256" t="s">
        <v>33</v>
      </c>
      <c r="B120" s="225"/>
      <c r="C120" s="522">
        <f>+'Exhibit F'!D109+'Exhibit G'!D97+'Exhibit I'!E78</f>
        <v>392.6</v>
      </c>
      <c r="D120" s="522"/>
      <c r="E120" s="522"/>
      <c r="F120" s="522"/>
      <c r="G120" s="522"/>
      <c r="H120" s="522"/>
      <c r="I120" s="522"/>
      <c r="J120" s="522"/>
      <c r="K120" s="522"/>
      <c r="L120" s="522"/>
      <c r="M120" s="522"/>
      <c r="N120" s="522"/>
      <c r="O120" s="1628"/>
      <c r="P120" s="522"/>
      <c r="Q120" s="522"/>
      <c r="R120" s="522"/>
      <c r="S120" s="522"/>
      <c r="T120" s="522"/>
      <c r="U120" s="522"/>
      <c r="V120" s="522"/>
      <c r="W120" s="522"/>
      <c r="X120" s="522"/>
      <c r="Y120" s="522"/>
      <c r="Z120" s="522"/>
      <c r="AA120" s="523"/>
      <c r="AB120" s="1628">
        <f>ROUND(SUM(C120:Y120),1)</f>
        <v>392.6</v>
      </c>
      <c r="AC120" s="3123"/>
      <c r="AD120" s="3320"/>
      <c r="AE120" s="118">
        <f>+'Exhibit F'!AF109+'Exhibit G'!AG97+'Exhibit I'!AI78</f>
        <v>90</v>
      </c>
      <c r="AF120" s="1628"/>
      <c r="AG120" s="1628"/>
      <c r="AH120" s="1628">
        <f>ROUND(SUM(AB120-AE120),1)</f>
        <v>302.60000000000002</v>
      </c>
      <c r="AI120" s="3110"/>
      <c r="AJ120" s="1717">
        <f t="shared" si="19"/>
        <v>3.3620000000000001</v>
      </c>
    </row>
    <row r="121" spans="1:38" ht="16.5" customHeight="1">
      <c r="A121" s="225" t="s">
        <v>34</v>
      </c>
      <c r="B121" s="225"/>
      <c r="C121" s="533">
        <f>ROUND(SUM(C111:C120),1)</f>
        <v>8805.5</v>
      </c>
      <c r="D121" s="526"/>
      <c r="E121" s="533">
        <f>ROUND(SUM(E111:E120),1)</f>
        <v>0</v>
      </c>
      <c r="F121" s="526"/>
      <c r="G121" s="533">
        <f>ROUND(SUM(G111:G120),1)</f>
        <v>0</v>
      </c>
      <c r="H121" s="526"/>
      <c r="I121" s="533">
        <f>ROUND(SUM(I111:I120),1)</f>
        <v>0</v>
      </c>
      <c r="J121" s="526"/>
      <c r="K121" s="533">
        <f>ROUND(SUM(K111:K120),1)</f>
        <v>0</v>
      </c>
      <c r="L121" s="526"/>
      <c r="M121" s="533">
        <f>ROUND(SUM(M111:M120),1)</f>
        <v>0</v>
      </c>
      <c r="N121" s="526"/>
      <c r="O121" s="3115">
        <f>ROUND(SUM(O111:O120),1)</f>
        <v>0</v>
      </c>
      <c r="P121" s="526"/>
      <c r="Q121" s="3115">
        <f>ROUND(SUM(Q111:Q120),1)</f>
        <v>0</v>
      </c>
      <c r="R121" s="526"/>
      <c r="S121" s="533">
        <f>ROUND(SUM(S111:S120),1)</f>
        <v>0</v>
      </c>
      <c r="T121" s="526"/>
      <c r="U121" s="533">
        <f>ROUND(SUM(U111:U120),1)</f>
        <v>0</v>
      </c>
      <c r="V121" s="526"/>
      <c r="W121" s="533">
        <f>ROUND(SUM(W111:W120),1)</f>
        <v>0</v>
      </c>
      <c r="X121" s="526"/>
      <c r="Y121" s="533">
        <f>ROUND(SUM(Y111:Y120),1)</f>
        <v>0</v>
      </c>
      <c r="Z121" s="526"/>
      <c r="AA121" s="527"/>
      <c r="AB121" s="3115">
        <f>ROUND(SUM(AB111:AB120),1)</f>
        <v>8805.5</v>
      </c>
      <c r="AC121" s="3124"/>
      <c r="AD121" s="3327"/>
      <c r="AE121" s="3115">
        <f>ROUND(SUM(AE111:AE120),1)</f>
        <v>7660.2</v>
      </c>
      <c r="AF121" s="3118"/>
      <c r="AG121" s="3118"/>
      <c r="AH121" s="3115">
        <f>ROUND(SUM(AH111:AH120),1)</f>
        <v>1145.3</v>
      </c>
      <c r="AI121" s="3111"/>
      <c r="AJ121" s="3317">
        <f t="shared" si="19"/>
        <v>0.15</v>
      </c>
      <c r="AK121" s="3310"/>
      <c r="AL121" s="428"/>
    </row>
    <row r="122" spans="1:38" ht="16.5" customHeight="1">
      <c r="A122" s="225" t="s">
        <v>35</v>
      </c>
      <c r="B122" s="225"/>
      <c r="C122" s="529"/>
      <c r="D122" s="522"/>
      <c r="E122" s="529"/>
      <c r="F122" s="522"/>
      <c r="G122" s="529"/>
      <c r="H122" s="522"/>
      <c r="I122" s="529"/>
      <c r="J122" s="522"/>
      <c r="K122" s="529"/>
      <c r="L122" s="522"/>
      <c r="M122" s="529"/>
      <c r="N122" s="522"/>
      <c r="O122" s="2160"/>
      <c r="P122" s="522"/>
      <c r="Q122" s="2160"/>
      <c r="R122" s="522"/>
      <c r="S122" s="529"/>
      <c r="T122" s="522"/>
      <c r="U122" s="529"/>
      <c r="V122" s="522"/>
      <c r="W122" s="529"/>
      <c r="X122" s="522"/>
      <c r="Y122" s="529"/>
      <c r="Z122" s="522"/>
      <c r="AA122" s="523"/>
      <c r="AB122" s="2160"/>
      <c r="AC122" s="1628"/>
      <c r="AD122" s="3320"/>
      <c r="AE122" s="67"/>
      <c r="AF122" s="1628"/>
      <c r="AG122" s="1628"/>
      <c r="AH122" s="889"/>
      <c r="AI122" s="3110"/>
      <c r="AJ122" s="885"/>
    </row>
    <row r="123" spans="1:38" ht="16.5" customHeight="1">
      <c r="A123" s="225" t="s">
        <v>137</v>
      </c>
      <c r="B123" s="225"/>
      <c r="C123" s="522">
        <f>+'Exhibit F'!D112+'Exhibit G'!D100+'Exhibit I'!E81</f>
        <v>1158.2</v>
      </c>
      <c r="D123" s="522"/>
      <c r="E123" s="522"/>
      <c r="F123" s="522"/>
      <c r="G123" s="522"/>
      <c r="H123" s="522"/>
      <c r="I123" s="522"/>
      <c r="J123" s="522"/>
      <c r="K123" s="522"/>
      <c r="L123" s="522"/>
      <c r="M123" s="522"/>
      <c r="N123" s="522"/>
      <c r="O123" s="1628"/>
      <c r="P123" s="522"/>
      <c r="Q123" s="522"/>
      <c r="R123" s="522"/>
      <c r="S123" s="522"/>
      <c r="T123" s="522"/>
      <c r="U123" s="522"/>
      <c r="V123" s="522"/>
      <c r="W123" s="522"/>
      <c r="X123" s="522"/>
      <c r="Y123" s="522"/>
      <c r="Z123" s="522"/>
      <c r="AA123" s="523"/>
      <c r="AB123" s="1628">
        <f>ROUND(SUM(C123:Y123),1)</f>
        <v>1158.2</v>
      </c>
      <c r="AC123" s="1628"/>
      <c r="AD123" s="3320"/>
      <c r="AE123" s="67">
        <f>+'Exhibit F'!AF112+'Exhibit G'!AG100+'Exhibit I'!AI81</f>
        <v>1569.5</v>
      </c>
      <c r="AF123" s="1628"/>
      <c r="AG123" s="1628"/>
      <c r="AH123" s="1628">
        <f>ROUND(SUM(AB123-AE123),1)</f>
        <v>-411.3</v>
      </c>
      <c r="AI123" s="3110"/>
      <c r="AJ123" s="1717">
        <f>ROUND(IF(AE123=0,0,AH123/ABS(AE123)),3)</f>
        <v>-0.26200000000000001</v>
      </c>
    </row>
    <row r="124" spans="1:38" ht="16.5" customHeight="1">
      <c r="A124" s="225" t="s">
        <v>138</v>
      </c>
      <c r="B124" s="225"/>
      <c r="C124" s="522">
        <f>+'Exhibit F'!D113+'Exhibit G'!D101+'Exhibit H'!B55+'Exhibit I'!E82</f>
        <v>519.40000000000009</v>
      </c>
      <c r="D124" s="522"/>
      <c r="E124" s="522"/>
      <c r="F124" s="522"/>
      <c r="G124" s="522"/>
      <c r="H124" s="522"/>
      <c r="I124" s="522"/>
      <c r="J124" s="522"/>
      <c r="K124" s="522"/>
      <c r="L124" s="522"/>
      <c r="M124" s="522"/>
      <c r="N124" s="522"/>
      <c r="O124" s="1628"/>
      <c r="P124" s="522"/>
      <c r="Q124" s="522"/>
      <c r="R124" s="522"/>
      <c r="S124" s="522"/>
      <c r="T124" s="522"/>
      <c r="U124" s="522"/>
      <c r="V124" s="522"/>
      <c r="W124" s="522"/>
      <c r="X124" s="522"/>
      <c r="Y124" s="522"/>
      <c r="Z124" s="522"/>
      <c r="AA124" s="523"/>
      <c r="AB124" s="1628">
        <f>ROUND(SUM(C124:Y124),1)</f>
        <v>519.4</v>
      </c>
      <c r="AC124" s="1628"/>
      <c r="AD124" s="3320"/>
      <c r="AE124" s="67">
        <f>+'Exhibit F'!AF113+'Exhibit G'!AG101+'Exhibit H'!AD55+'Exhibit I'!AI82</f>
        <v>584.09999999999991</v>
      </c>
      <c r="AF124" s="1628"/>
      <c r="AG124" s="1628"/>
      <c r="AH124" s="1628">
        <f>ROUND(SUM(AB124-AE124),1)</f>
        <v>-64.7</v>
      </c>
      <c r="AI124" s="3110"/>
      <c r="AJ124" s="1717">
        <f>ROUND(IF(AE124=0,0,AH124/ABS(AE124)),3)</f>
        <v>-0.111</v>
      </c>
    </row>
    <row r="125" spans="1:38" ht="16.5" customHeight="1">
      <c r="A125" s="225" t="s">
        <v>38</v>
      </c>
      <c r="B125" s="225"/>
      <c r="C125" s="522">
        <f>+'Exhibit F'!D114+'Exhibit G'!D102+'Exhibit I'!E83</f>
        <v>895.5</v>
      </c>
      <c r="D125" s="522"/>
      <c r="E125" s="522"/>
      <c r="F125" s="522"/>
      <c r="G125" s="522"/>
      <c r="H125" s="522"/>
      <c r="I125" s="522"/>
      <c r="J125" s="522"/>
      <c r="K125" s="522"/>
      <c r="L125" s="522"/>
      <c r="M125" s="522"/>
      <c r="N125" s="522"/>
      <c r="O125" s="1628"/>
      <c r="P125" s="522"/>
      <c r="Q125" s="522"/>
      <c r="R125" s="522"/>
      <c r="S125" s="522"/>
      <c r="T125" s="522"/>
      <c r="U125" s="522"/>
      <c r="V125" s="522"/>
      <c r="W125" s="522"/>
      <c r="X125" s="522"/>
      <c r="Y125" s="522"/>
      <c r="Z125" s="522"/>
      <c r="AA125" s="523"/>
      <c r="AB125" s="1628">
        <f>ROUND(SUM(C125:Y125),1)</f>
        <v>895.5</v>
      </c>
      <c r="AC125" s="1628"/>
      <c r="AD125" s="3320"/>
      <c r="AE125" s="67">
        <f>+'Exhibit F'!AF114+'Exhibit G'!AG102+'Exhibit H'!AD56+'Exhibit I'!AI83</f>
        <v>535.20000000000005</v>
      </c>
      <c r="AF125" s="1628"/>
      <c r="AG125" s="1628"/>
      <c r="AH125" s="1628">
        <f>ROUND(SUM(AB125-AE125),1)</f>
        <v>360.3</v>
      </c>
      <c r="AI125" s="3110"/>
      <c r="AJ125" s="1717">
        <f>ROUND(IF(AE125=0,0,AH125/ABS(AE125)),3)</f>
        <v>0.67300000000000004</v>
      </c>
    </row>
    <row r="126" spans="1:38" ht="16.5" customHeight="1">
      <c r="A126" s="225" t="s">
        <v>1169</v>
      </c>
      <c r="B126" s="225"/>
      <c r="C126" s="529"/>
      <c r="D126" s="522"/>
      <c r="E126" s="529"/>
      <c r="F126" s="522"/>
      <c r="G126" s="529"/>
      <c r="H126" s="522"/>
      <c r="I126" s="529"/>
      <c r="J126" s="522"/>
      <c r="K126" s="529"/>
      <c r="L126" s="522"/>
      <c r="M126" s="529"/>
      <c r="N126" s="522"/>
      <c r="O126" s="2160"/>
      <c r="P126" s="522"/>
      <c r="Q126" s="529"/>
      <c r="R126" s="522"/>
      <c r="S126" s="529"/>
      <c r="T126" s="522"/>
      <c r="U126" s="529"/>
      <c r="V126" s="522"/>
      <c r="W126" s="529"/>
      <c r="X126" s="522"/>
      <c r="Y126" s="529"/>
      <c r="Z126" s="522"/>
      <c r="AA126" s="523"/>
      <c r="AB126" s="1628"/>
      <c r="AC126" s="1628"/>
      <c r="AD126" s="3320"/>
      <c r="AE126" s="2160"/>
      <c r="AF126" s="1628"/>
      <c r="AG126" s="1628"/>
      <c r="AH126" s="1628"/>
      <c r="AI126" s="3110"/>
      <c r="AJ126" s="3321"/>
    </row>
    <row r="127" spans="1:38" ht="16.5" customHeight="1">
      <c r="A127" s="225" t="s">
        <v>40</v>
      </c>
      <c r="B127" s="225"/>
      <c r="C127" s="522">
        <f>+'Exhibit H'!B57</f>
        <v>122.4</v>
      </c>
      <c r="D127" s="522"/>
      <c r="E127" s="522"/>
      <c r="F127" s="522"/>
      <c r="G127" s="522"/>
      <c r="H127" s="522"/>
      <c r="I127" s="522"/>
      <c r="J127" s="522"/>
      <c r="K127" s="522"/>
      <c r="L127" s="522"/>
      <c r="M127" s="522"/>
      <c r="N127" s="522"/>
      <c r="O127" s="1628"/>
      <c r="P127" s="522"/>
      <c r="Q127" s="522"/>
      <c r="R127" s="522"/>
      <c r="S127" s="522"/>
      <c r="T127" s="522"/>
      <c r="U127" s="522"/>
      <c r="V127" s="522"/>
      <c r="W127" s="522"/>
      <c r="X127" s="522"/>
      <c r="Y127" s="522"/>
      <c r="Z127" s="522"/>
      <c r="AA127" s="523"/>
      <c r="AB127" s="1628">
        <f>ROUND(SUM(C127:Y127),1)</f>
        <v>122.4</v>
      </c>
      <c r="AC127" s="1628"/>
      <c r="AD127" s="3320"/>
      <c r="AE127" s="67">
        <f>+'Exhibit H'!AD57</f>
        <v>36.5</v>
      </c>
      <c r="AF127" s="1628"/>
      <c r="AG127" s="1628"/>
      <c r="AH127" s="1628">
        <f>ROUND(SUM(AB127-AE127),1)</f>
        <v>85.9</v>
      </c>
      <c r="AI127" s="3110"/>
      <c r="AJ127" s="1717">
        <f>ROUND(IF(AE127=0,0,AH127/ABS(AE127)),3)</f>
        <v>2.3530000000000002</v>
      </c>
    </row>
    <row r="128" spans="1:38" ht="16.5" customHeight="1">
      <c r="A128" s="532" t="s">
        <v>139</v>
      </c>
      <c r="B128" s="225"/>
      <c r="C128" s="524">
        <f>+'Exhibit G'!D105+'Exhibit I'!E84</f>
        <v>398.20000000000005</v>
      </c>
      <c r="D128" s="522"/>
      <c r="E128" s="524"/>
      <c r="F128" s="522"/>
      <c r="G128" s="524"/>
      <c r="H128" s="522"/>
      <c r="I128" s="524"/>
      <c r="J128" s="522"/>
      <c r="K128" s="524"/>
      <c r="L128" s="522"/>
      <c r="M128" s="524"/>
      <c r="N128" s="522"/>
      <c r="O128" s="3833"/>
      <c r="P128" s="522"/>
      <c r="Q128" s="524"/>
      <c r="R128" s="522"/>
      <c r="S128" s="524"/>
      <c r="T128" s="522"/>
      <c r="U128" s="524"/>
      <c r="V128" s="522"/>
      <c r="W128" s="524"/>
      <c r="X128" s="522"/>
      <c r="Y128" s="524"/>
      <c r="Z128" s="522"/>
      <c r="AA128" s="523"/>
      <c r="AB128" s="3120">
        <f>ROUND(SUM(C128:Y128),1)</f>
        <v>398.2</v>
      </c>
      <c r="AC128" s="1628"/>
      <c r="AD128" s="3320"/>
      <c r="AE128" s="3834">
        <f>+'Exhibit G'!AG105+'Exhibit I'!AI84</f>
        <v>509.8</v>
      </c>
      <c r="AF128" s="1628"/>
      <c r="AG128" s="1628"/>
      <c r="AH128" s="3120">
        <f>ROUND(SUM(AB128-AE128),1)</f>
        <v>-111.6</v>
      </c>
      <c r="AI128" s="3110"/>
      <c r="AJ128" s="3324">
        <f>ROUND(IF(AE128=0,0,AH128/ABS(AE128)),3)</f>
        <v>-0.219</v>
      </c>
    </row>
    <row r="129" spans="1:59" ht="16.5" customHeight="1">
      <c r="A129" s="225"/>
      <c r="B129" s="225"/>
      <c r="C129" s="529"/>
      <c r="D129" s="522"/>
      <c r="E129" s="529"/>
      <c r="F129" s="522"/>
      <c r="G129" s="529"/>
      <c r="H129" s="522"/>
      <c r="I129" s="529"/>
      <c r="J129" s="522"/>
      <c r="K129" s="529"/>
      <c r="L129" s="522"/>
      <c r="M129" s="529"/>
      <c r="N129" s="522"/>
      <c r="O129" s="2160"/>
      <c r="P129" s="522"/>
      <c r="Q129" s="2160"/>
      <c r="R129" s="522"/>
      <c r="S129" s="529"/>
      <c r="T129" s="522"/>
      <c r="U129" s="529"/>
      <c r="V129" s="522"/>
      <c r="W129" s="529"/>
      <c r="X129" s="522"/>
      <c r="Y129" s="529"/>
      <c r="Z129" s="522"/>
      <c r="AA129" s="523"/>
      <c r="AB129" s="2160"/>
      <c r="AC129" s="1628"/>
      <c r="AD129" s="3320"/>
      <c r="AE129" s="2160"/>
      <c r="AF129" s="1628"/>
      <c r="AG129" s="1628"/>
      <c r="AH129" s="2160"/>
      <c r="AI129" s="3110"/>
      <c r="AJ129" s="3328"/>
    </row>
    <row r="130" spans="1:59" ht="16.5" customHeight="1">
      <c r="A130" s="207" t="s">
        <v>56</v>
      </c>
      <c r="B130" s="225"/>
      <c r="C130" s="525">
        <f>ROUND(SUM(C121:C128),1)</f>
        <v>11899.2</v>
      </c>
      <c r="D130" s="526"/>
      <c r="E130" s="525">
        <f>ROUND(SUM(E121:E128),1)</f>
        <v>0</v>
      </c>
      <c r="F130" s="526"/>
      <c r="G130" s="525">
        <f>ROUND(SUM(G121:G128),1)</f>
        <v>0</v>
      </c>
      <c r="H130" s="526"/>
      <c r="I130" s="525">
        <f>ROUND(SUM(I121:I128),1)</f>
        <v>0</v>
      </c>
      <c r="J130" s="526"/>
      <c r="K130" s="525">
        <f>ROUND(SUM(K121:K128),1)</f>
        <v>0</v>
      </c>
      <c r="L130" s="526"/>
      <c r="M130" s="525">
        <f>ROUND(SUM(M121:M128),1)</f>
        <v>0</v>
      </c>
      <c r="N130" s="526"/>
      <c r="O130" s="2161">
        <f>ROUND(SUM(O121:O128),1)</f>
        <v>0</v>
      </c>
      <c r="P130" s="526"/>
      <c r="Q130" s="2161">
        <f>ROUND(SUM(Q121:Q128),1)</f>
        <v>0</v>
      </c>
      <c r="R130" s="526"/>
      <c r="S130" s="525">
        <f>ROUND(SUM(S121:S128),1)</f>
        <v>0</v>
      </c>
      <c r="T130" s="526"/>
      <c r="U130" s="525">
        <f>ROUND(SUM(U121:U128),1)</f>
        <v>0</v>
      </c>
      <c r="V130" s="526"/>
      <c r="W130" s="525">
        <f>ROUND(SUM(W121:W128),1)</f>
        <v>0</v>
      </c>
      <c r="X130" s="526"/>
      <c r="Y130" s="525">
        <f>ROUND(SUM(Y121:Y128),1)</f>
        <v>0</v>
      </c>
      <c r="Z130" s="526"/>
      <c r="AA130" s="527"/>
      <c r="AB130" s="2161">
        <f>ROUND(SUM(AB121:AB128),1)</f>
        <v>11899.2</v>
      </c>
      <c r="AC130" s="3118"/>
      <c r="AD130" s="3327"/>
      <c r="AE130" s="2161">
        <f>ROUND(SUM(AE121:AE128),1)</f>
        <v>10895.3</v>
      </c>
      <c r="AF130" s="3118"/>
      <c r="AG130" s="3118"/>
      <c r="AH130" s="2161">
        <f>ROUND(SUM(AB130-AE130),1)</f>
        <v>1003.9</v>
      </c>
      <c r="AI130" s="3111"/>
      <c r="AJ130" s="3319">
        <f>ROUND(IF(AE130=0,0,AH130/ABS(AE130)),3)</f>
        <v>9.1999999999999998E-2</v>
      </c>
      <c r="AK130" s="3310"/>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28"/>
      <c r="P131" s="522"/>
      <c r="Q131" s="1628"/>
      <c r="R131" s="522"/>
      <c r="S131" s="522"/>
      <c r="T131" s="522"/>
      <c r="U131" s="522"/>
      <c r="V131" s="522"/>
      <c r="W131" s="522"/>
      <c r="X131" s="522"/>
      <c r="Y131" s="522"/>
      <c r="Z131" s="522"/>
      <c r="AA131" s="523"/>
      <c r="AB131" s="1628"/>
      <c r="AC131" s="1628"/>
      <c r="AD131" s="3320"/>
      <c r="AE131" s="1628"/>
      <c r="AF131" s="1628"/>
      <c r="AG131" s="1628"/>
      <c r="AH131" s="889"/>
      <c r="AI131" s="3110"/>
      <c r="AJ131" s="885"/>
    </row>
    <row r="132" spans="1:59" ht="16.5" customHeight="1">
      <c r="A132" s="207" t="s">
        <v>43</v>
      </c>
      <c r="B132" s="225"/>
      <c r="C132" s="522"/>
      <c r="D132" s="522"/>
      <c r="E132" s="522"/>
      <c r="F132" s="522"/>
      <c r="G132" s="522"/>
      <c r="H132" s="522"/>
      <c r="I132" s="522"/>
      <c r="J132" s="522"/>
      <c r="K132" s="522"/>
      <c r="L132" s="522"/>
      <c r="M132" s="522"/>
      <c r="N132" s="522"/>
      <c r="O132" s="1628"/>
      <c r="P132" s="522"/>
      <c r="Q132" s="1628"/>
      <c r="R132" s="522"/>
      <c r="S132" s="522"/>
      <c r="T132" s="522"/>
      <c r="U132" s="522"/>
      <c r="V132" s="522"/>
      <c r="W132" s="522"/>
      <c r="X132" s="522"/>
      <c r="Y132" s="522"/>
      <c r="Z132" s="522"/>
      <c r="AA132" s="523"/>
      <c r="AB132" s="1628"/>
      <c r="AC132" s="1628"/>
      <c r="AD132" s="3320"/>
      <c r="AE132" s="1628"/>
      <c r="AF132" s="1628"/>
      <c r="AG132" s="1628"/>
      <c r="AH132" s="889"/>
      <c r="AI132" s="3110"/>
      <c r="AJ132" s="885"/>
    </row>
    <row r="133" spans="1:59" ht="16.5" customHeight="1">
      <c r="A133" s="207" t="s">
        <v>44</v>
      </c>
      <c r="B133" s="225"/>
      <c r="C133" s="525">
        <f>ROUND(SUM(C107-C130),1)</f>
        <v>6186.5</v>
      </c>
      <c r="D133" s="526"/>
      <c r="E133" s="525">
        <f>ROUND(SUM(E107-E130),1)</f>
        <v>0</v>
      </c>
      <c r="F133" s="526"/>
      <c r="G133" s="525">
        <f>ROUND(SUM(G107-G130),1)</f>
        <v>0</v>
      </c>
      <c r="H133" s="526"/>
      <c r="I133" s="525">
        <f>ROUND(SUM(I107-I130),1)</f>
        <v>0</v>
      </c>
      <c r="J133" s="526"/>
      <c r="K133" s="525">
        <f>ROUND(SUM(K107-K130),1)</f>
        <v>0</v>
      </c>
      <c r="L133" s="526"/>
      <c r="M133" s="525">
        <f>ROUND(SUM(M107-M130),1)</f>
        <v>0</v>
      </c>
      <c r="N133" s="526"/>
      <c r="O133" s="2161">
        <f>ROUND(SUM(O107-O130),1)</f>
        <v>0</v>
      </c>
      <c r="P133" s="526"/>
      <c r="Q133" s="2161">
        <f>ROUND(SUM(Q107-Q130),1)</f>
        <v>0</v>
      </c>
      <c r="R133" s="526"/>
      <c r="S133" s="525">
        <f>ROUND(SUM(S107-S130),1)</f>
        <v>0</v>
      </c>
      <c r="T133" s="526"/>
      <c r="U133" s="525">
        <f>ROUND(SUM(U107-U130),1)</f>
        <v>0</v>
      </c>
      <c r="V133" s="526"/>
      <c r="W133" s="525">
        <f>ROUND(SUM(W107-W130),1)</f>
        <v>0</v>
      </c>
      <c r="X133" s="526"/>
      <c r="Y133" s="525">
        <f>ROUND(SUM(Y107-Y130),1)</f>
        <v>0</v>
      </c>
      <c r="Z133" s="526"/>
      <c r="AA133" s="527"/>
      <c r="AB133" s="2161">
        <f>ROUND(SUM(AB107-AB130),1)</f>
        <v>6186.5</v>
      </c>
      <c r="AC133" s="3118"/>
      <c r="AD133" s="3327"/>
      <c r="AE133" s="2161">
        <f>ROUND(SUM(AE107-AE130),1)</f>
        <v>6263</v>
      </c>
      <c r="AF133" s="3118"/>
      <c r="AG133" s="3118"/>
      <c r="AH133" s="3329">
        <f>ROUND(SUM(AB133-AE133),1)</f>
        <v>-76.5</v>
      </c>
      <c r="AI133" s="3111"/>
      <c r="AJ133" s="3330">
        <f>ROUND(IF(AE133=0,0,AH133/ABS(AE133)),3)</f>
        <v>-1.2E-2</v>
      </c>
      <c r="AK133" s="3310"/>
      <c r="AL133" s="428"/>
    </row>
    <row r="134" spans="1:59" ht="16.5" customHeight="1">
      <c r="A134" s="165"/>
      <c r="B134" s="225"/>
      <c r="C134" s="528"/>
      <c r="D134" s="522"/>
      <c r="E134" s="3121"/>
      <c r="F134" s="522"/>
      <c r="G134" s="528"/>
      <c r="H134" s="522"/>
      <c r="I134" s="528"/>
      <c r="J134" s="522"/>
      <c r="K134" s="528"/>
      <c r="L134" s="522"/>
      <c r="M134" s="528"/>
      <c r="N134" s="522"/>
      <c r="O134" s="3121"/>
      <c r="P134" s="522"/>
      <c r="Q134" s="3121"/>
      <c r="R134" s="522"/>
      <c r="S134" s="528"/>
      <c r="T134" s="522"/>
      <c r="U134" s="528"/>
      <c r="V134" s="522"/>
      <c r="W134" s="3121"/>
      <c r="X134" s="522"/>
      <c r="Y134" s="528"/>
      <c r="Z134" s="530"/>
      <c r="AA134" s="523"/>
      <c r="AB134" s="3121"/>
      <c r="AC134" s="1628"/>
      <c r="AD134" s="3320"/>
      <c r="AE134" s="3121"/>
      <c r="AF134" s="1628"/>
      <c r="AG134" s="1628"/>
      <c r="AH134" s="889"/>
      <c r="AI134" s="3110"/>
      <c r="AJ134" s="885"/>
    </row>
    <row r="135" spans="1:59" ht="16.5" customHeight="1">
      <c r="A135" s="207" t="s">
        <v>45</v>
      </c>
      <c r="B135" s="225"/>
      <c r="C135" s="2160"/>
      <c r="D135" s="522"/>
      <c r="E135" s="2160"/>
      <c r="F135" s="535"/>
      <c r="G135" s="2160"/>
      <c r="H135" s="535"/>
      <c r="I135" s="534"/>
      <c r="J135" s="535"/>
      <c r="K135" s="534"/>
      <c r="L135" s="535"/>
      <c r="M135" s="534"/>
      <c r="N135" s="535"/>
      <c r="O135" s="3399"/>
      <c r="P135" s="2152"/>
      <c r="Q135" s="3399"/>
      <c r="R135" s="2152"/>
      <c r="S135" s="3399"/>
      <c r="T135" s="2152"/>
      <c r="U135" s="3399"/>
      <c r="V135" s="1628"/>
      <c r="W135" s="3399"/>
      <c r="X135" s="1628"/>
      <c r="Y135" s="3399"/>
      <c r="Z135" s="3122"/>
      <c r="AA135" s="3435"/>
      <c r="AB135" s="2160"/>
      <c r="AC135" s="3122"/>
      <c r="AD135" s="1628"/>
      <c r="AE135" s="2160"/>
      <c r="AF135" s="1628"/>
      <c r="AG135" s="1628"/>
      <c r="AH135" s="889"/>
      <c r="AI135" s="3110"/>
      <c r="AJ135" s="885"/>
    </row>
    <row r="136" spans="1:59" ht="16.5" customHeight="1">
      <c r="A136" s="225" t="s">
        <v>1385</v>
      </c>
      <c r="B136" s="225"/>
      <c r="C136" s="2151">
        <v>0</v>
      </c>
      <c r="D136" s="1628"/>
      <c r="E136" s="2151"/>
      <c r="F136" s="2152"/>
      <c r="G136" s="2151"/>
      <c r="H136" s="2152"/>
      <c r="I136" s="2151"/>
      <c r="J136" s="2152"/>
      <c r="K136" s="2151"/>
      <c r="L136" s="2152"/>
      <c r="M136" s="2151"/>
      <c r="N136" s="2152"/>
      <c r="O136" s="2151"/>
      <c r="P136" s="2152"/>
      <c r="Q136" s="2151"/>
      <c r="R136" s="2152"/>
      <c r="S136" s="2151"/>
      <c r="T136" s="2152"/>
      <c r="U136" s="2151"/>
      <c r="V136" s="1628"/>
      <c r="W136" s="2151"/>
      <c r="X136" s="1628"/>
      <c r="Y136" s="2151"/>
      <c r="Z136" s="1628"/>
      <c r="AA136" s="3435"/>
      <c r="AB136" s="1628">
        <f>ROUND(SUM(C136:Y136),1)</f>
        <v>0</v>
      </c>
      <c r="AC136" s="1628"/>
      <c r="AD136" s="3320"/>
      <c r="AE136" s="1628">
        <f>+'Exhibit A'!AD48</f>
        <v>0</v>
      </c>
      <c r="AF136" s="1628"/>
      <c r="AG136" s="1628"/>
      <c r="AH136" s="1628">
        <f>ROUND(SUM(AB136-AE136),1)</f>
        <v>0</v>
      </c>
      <c r="AI136" s="3331"/>
      <c r="AJ136" s="1716">
        <f>ROUND(IF(AE136=0,0,AH136/ABS(AE136)),3)</f>
        <v>0</v>
      </c>
    </row>
    <row r="137" spans="1:59" ht="16.5" customHeight="1">
      <c r="A137" s="225" t="s">
        <v>46</v>
      </c>
      <c r="B137" s="225"/>
      <c r="C137" s="2151">
        <f>'Exhibit A'!V49</f>
        <v>5344.8</v>
      </c>
      <c r="D137" s="1628"/>
      <c r="E137" s="2151" t="s">
        <v>14</v>
      </c>
      <c r="F137" s="1628"/>
      <c r="G137" s="2151"/>
      <c r="H137" s="1628"/>
      <c r="I137" s="2151"/>
      <c r="J137" s="1628"/>
      <c r="K137" s="2151"/>
      <c r="L137" s="1628"/>
      <c r="M137" s="2151"/>
      <c r="N137" s="1628"/>
      <c r="O137" s="2151"/>
      <c r="P137" s="1628"/>
      <c r="Q137" s="2151"/>
      <c r="R137" s="1628"/>
      <c r="S137" s="2151"/>
      <c r="T137" s="1628"/>
      <c r="U137" s="2151"/>
      <c r="V137" s="1628"/>
      <c r="W137" s="2151"/>
      <c r="X137" s="1628"/>
      <c r="Y137" s="2151"/>
      <c r="Z137" s="1628"/>
      <c r="AA137" s="3435"/>
      <c r="AB137" s="1628">
        <f>ROUND(SUM(C137:Y137),1)</f>
        <v>5344.8</v>
      </c>
      <c r="AC137" s="1628"/>
      <c r="AD137" s="3435"/>
      <c r="AE137" s="1628">
        <f>+'Exhibit A'!AD49</f>
        <v>1063.0999999999999</v>
      </c>
      <c r="AF137" s="1628"/>
      <c r="AG137" s="1628"/>
      <c r="AH137" s="1628">
        <f>ROUND(SUM(AB137-AE137),1)</f>
        <v>4281.7</v>
      </c>
      <c r="AI137" s="3110"/>
      <c r="AJ137" s="1716">
        <f>ROUND(IF(AE137=0,0,AH137/ABS(AE137)),3)</f>
        <v>4.0279999999999996</v>
      </c>
    </row>
    <row r="138" spans="1:59" ht="16.5" customHeight="1">
      <c r="A138" s="225" t="s">
        <v>47</v>
      </c>
      <c r="C138" s="2151">
        <f>'Exhibit A'!V50</f>
        <v>-5350.2</v>
      </c>
      <c r="D138" s="55"/>
      <c r="E138" s="3519"/>
      <c r="F138" s="278"/>
      <c r="G138" s="3519"/>
      <c r="H138" s="278"/>
      <c r="I138" s="3519"/>
      <c r="J138" s="278"/>
      <c r="K138" s="3519"/>
      <c r="L138" s="278"/>
      <c r="M138" s="3519"/>
      <c r="N138" s="278"/>
      <c r="O138" s="3519"/>
      <c r="P138" s="278"/>
      <c r="Q138" s="3519"/>
      <c r="R138" s="278"/>
      <c r="S138" s="3519"/>
      <c r="T138" s="278"/>
      <c r="U138" s="3519"/>
      <c r="V138" s="278"/>
      <c r="W138" s="3519"/>
      <c r="X138" s="278"/>
      <c r="Y138" s="3519"/>
      <c r="Z138" s="278"/>
      <c r="AA138" s="3332"/>
      <c r="AB138" s="3120">
        <f>ROUND(SUM(C138:Y138),1)</f>
        <v>-5350.2</v>
      </c>
      <c r="AC138" s="278"/>
      <c r="AD138" s="3332"/>
      <c r="AE138" s="3120">
        <f>+'Exhibit A'!AD50</f>
        <v>-1066.4999999999998</v>
      </c>
      <c r="AF138" s="278"/>
      <c r="AG138" s="278"/>
      <c r="AH138" s="3120">
        <f>ROUND(SUM(-AB138+AE138),1)</f>
        <v>4283.7</v>
      </c>
      <c r="AI138" s="885"/>
      <c r="AJ138" s="1804">
        <f>ROUND(IF(AE138=0,0,AH138/ABS(AE138)),3)</f>
        <v>4.0170000000000003</v>
      </c>
      <c r="AK138" s="3333"/>
    </row>
    <row r="139" spans="1:59" ht="16.5" customHeight="1">
      <c r="A139" s="225"/>
      <c r="C139" s="3878"/>
      <c r="D139" s="55"/>
      <c r="E139" s="2160"/>
      <c r="F139" s="55"/>
      <c r="G139" s="529"/>
      <c r="H139" s="55"/>
      <c r="I139" s="529"/>
      <c r="J139" s="55"/>
      <c r="K139" s="529"/>
      <c r="L139" s="55"/>
      <c r="M139" s="529"/>
      <c r="N139" s="55"/>
      <c r="O139" s="2160"/>
      <c r="P139" s="278"/>
      <c r="Q139" s="2160"/>
      <c r="R139" s="278"/>
      <c r="S139" s="2160"/>
      <c r="T139" s="278"/>
      <c r="U139" s="2160"/>
      <c r="V139" s="278"/>
      <c r="W139" s="2160"/>
      <c r="X139" s="278"/>
      <c r="Y139" s="2160"/>
      <c r="Z139" s="278"/>
      <c r="AA139" s="3332"/>
      <c r="AB139" s="2160"/>
      <c r="AC139" s="278"/>
      <c r="AD139" s="3332"/>
      <c r="AE139" s="2160"/>
      <c r="AF139" s="278"/>
      <c r="AG139" s="278"/>
      <c r="AH139" s="2160"/>
      <c r="AI139" s="885"/>
      <c r="AJ139" s="3328"/>
    </row>
    <row r="140" spans="1:59" ht="16.5" customHeight="1">
      <c r="A140" s="207" t="s">
        <v>48</v>
      </c>
      <c r="C140" s="2161">
        <f>ROUND(SUM(C136:C138),1)</f>
        <v>-5.4</v>
      </c>
      <c r="D140" s="537"/>
      <c r="E140" s="525">
        <f>ROUND(SUM(E136:E138),1)</f>
        <v>0</v>
      </c>
      <c r="F140" s="537"/>
      <c r="G140" s="525">
        <f>ROUND(SUM(G136:G138),1)</f>
        <v>0</v>
      </c>
      <c r="H140" s="537"/>
      <c r="I140" s="525">
        <f>ROUND(SUM(I136:I138),1)</f>
        <v>0</v>
      </c>
      <c r="J140" s="537"/>
      <c r="K140" s="525">
        <f>ROUND(SUM(K136:K138),1)</f>
        <v>0</v>
      </c>
      <c r="L140" s="537"/>
      <c r="M140" s="525">
        <f>ROUND(SUM(M136:M138),1)</f>
        <v>0</v>
      </c>
      <c r="N140" s="537"/>
      <c r="O140" s="2161">
        <f>ROUND(SUM(O136:O138),1)</f>
        <v>0</v>
      </c>
      <c r="P140" s="3125"/>
      <c r="Q140" s="2161">
        <f>ROUND(SUM(Q136:Q138),1)</f>
        <v>0</v>
      </c>
      <c r="R140" s="3125"/>
      <c r="S140" s="2161">
        <f>ROUND(SUM(S136:S138),1)</f>
        <v>0</v>
      </c>
      <c r="T140" s="3125"/>
      <c r="U140" s="2161">
        <f>ROUND(SUM(U136:U138),1)</f>
        <v>0</v>
      </c>
      <c r="V140" s="3125"/>
      <c r="W140" s="2161">
        <f>ROUND(SUM(W136:W138),1)</f>
        <v>0</v>
      </c>
      <c r="X140" s="3125"/>
      <c r="Y140" s="2161">
        <f>ROUND(SUM(Y136:Y138),1)</f>
        <v>0</v>
      </c>
      <c r="Z140" s="3125"/>
      <c r="AA140" s="3334"/>
      <c r="AB140" s="2161">
        <f>ROUND(SUM(AB136:AB139),1)</f>
        <v>-5.4</v>
      </c>
      <c r="AC140" s="3125"/>
      <c r="AD140" s="3334"/>
      <c r="AE140" s="2161">
        <f>SUM(AE136:AE139)</f>
        <v>-3.3999999999998636</v>
      </c>
      <c r="AF140" s="3125"/>
      <c r="AG140" s="3125"/>
      <c r="AH140" s="2161">
        <f>ROUND(SUM(+AH137-AH138+AH136),1)</f>
        <v>-2</v>
      </c>
      <c r="AI140" s="255"/>
      <c r="AJ140" s="3330">
        <f>ROUND(IF(AE140=0,0,AH140/ABS(AE140)),3)</f>
        <v>-0.58799999999999997</v>
      </c>
      <c r="AK140" s="3310"/>
      <c r="AL140" s="428" t="s">
        <v>14</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6"/>
      <c r="AB141" s="278"/>
      <c r="AC141" s="278"/>
      <c r="AD141" s="3332"/>
      <c r="AE141" s="278"/>
      <c r="AF141" s="278"/>
      <c r="AG141" s="278"/>
      <c r="AH141" s="889"/>
      <c r="AI141" s="885"/>
      <c r="AJ141" s="885"/>
    </row>
    <row r="142" spans="1:59" ht="16.5" customHeight="1">
      <c r="A142" s="255" t="s">
        <v>43</v>
      </c>
      <c r="C142" s="529"/>
      <c r="D142" s="55"/>
      <c r="E142" s="529"/>
      <c r="F142" s="55"/>
      <c r="G142" s="529"/>
      <c r="H142" s="55"/>
      <c r="I142" s="529"/>
      <c r="J142" s="55"/>
      <c r="K142" s="529"/>
      <c r="L142" s="55"/>
      <c r="M142" s="529"/>
      <c r="N142" s="55"/>
      <c r="O142" s="2160"/>
      <c r="P142" s="55"/>
      <c r="Q142" s="2160"/>
      <c r="R142" s="55"/>
      <c r="S142" s="529"/>
      <c r="T142" s="55"/>
      <c r="U142" s="529"/>
      <c r="V142" s="55"/>
      <c r="W142" s="529"/>
      <c r="X142" s="55"/>
      <c r="Y142" s="529"/>
      <c r="Z142" s="55"/>
      <c r="AA142" s="536"/>
      <c r="AB142" s="2160"/>
      <c r="AC142" s="278"/>
      <c r="AD142" s="3332"/>
      <c r="AE142" s="2160"/>
      <c r="AF142" s="278"/>
      <c r="AG142" s="278"/>
      <c r="AH142" s="889"/>
      <c r="AI142" s="885"/>
      <c r="AJ142" s="885"/>
    </row>
    <row r="143" spans="1:59" ht="16.5" customHeight="1">
      <c r="A143" s="255" t="s">
        <v>49</v>
      </c>
      <c r="C143" s="526"/>
      <c r="D143" s="537"/>
      <c r="E143" s="526"/>
      <c r="F143" s="537"/>
      <c r="G143" s="526"/>
      <c r="H143" s="537"/>
      <c r="I143" s="526"/>
      <c r="J143" s="537"/>
      <c r="K143" s="526"/>
      <c r="L143" s="537"/>
      <c r="M143" s="526"/>
      <c r="N143" s="537"/>
      <c r="O143" s="3118"/>
      <c r="P143" s="537"/>
      <c r="Q143" s="3118"/>
      <c r="R143" s="537"/>
      <c r="S143" s="526"/>
      <c r="T143" s="537"/>
      <c r="U143" s="526"/>
      <c r="V143" s="537"/>
      <c r="W143" s="526"/>
      <c r="X143" s="537"/>
      <c r="Y143" s="526"/>
      <c r="Z143" s="537"/>
      <c r="AA143" s="538"/>
      <c r="AB143" s="3118"/>
      <c r="AC143" s="3125"/>
      <c r="AD143" s="3334"/>
      <c r="AE143" s="3118"/>
      <c r="AF143" s="3125"/>
      <c r="AG143" s="3125"/>
      <c r="AH143" s="112"/>
      <c r="AI143" s="255"/>
      <c r="AJ143" s="255"/>
      <c r="AK143" s="3310"/>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50</v>
      </c>
      <c r="C144" s="539">
        <f>ROUND(SUM(C133+C140),1)</f>
        <v>6181.1</v>
      </c>
      <c r="D144" s="537"/>
      <c r="E144" s="539">
        <f>ROUND(SUM(E133+E140),1)</f>
        <v>0</v>
      </c>
      <c r="F144" s="537"/>
      <c r="G144" s="539">
        <f>ROUND(SUM(G133+G140),1)</f>
        <v>0</v>
      </c>
      <c r="H144" s="537"/>
      <c r="I144" s="539">
        <f>ROUND(SUM(I133+I140),1)</f>
        <v>0</v>
      </c>
      <c r="J144" s="537"/>
      <c r="K144" s="539">
        <f>ROUND(SUM(K133+K140),1)</f>
        <v>0</v>
      </c>
      <c r="L144" s="537"/>
      <c r="M144" s="539">
        <f>ROUND(SUM(M133+M140),1)</f>
        <v>0</v>
      </c>
      <c r="N144" s="537"/>
      <c r="O144" s="3126">
        <f>ROUND(SUM(O133+O140),1)</f>
        <v>0</v>
      </c>
      <c r="P144" s="537"/>
      <c r="Q144" s="3126">
        <f>ROUND(SUM(Q133+Q140),1)</f>
        <v>0</v>
      </c>
      <c r="R144" s="537"/>
      <c r="S144" s="539">
        <f>ROUND(SUM(S133+S140),1)</f>
        <v>0</v>
      </c>
      <c r="T144" s="537"/>
      <c r="U144" s="539">
        <f>ROUND(SUM(U133+U140),1)</f>
        <v>0</v>
      </c>
      <c r="V144" s="537"/>
      <c r="W144" s="539">
        <f>ROUND(SUM(W133+W140),1)</f>
        <v>0</v>
      </c>
      <c r="X144" s="537"/>
      <c r="Y144" s="539">
        <f>ROUND(SUM(Y133+Y140),1)</f>
        <v>0</v>
      </c>
      <c r="Z144" s="537"/>
      <c r="AA144" s="538"/>
      <c r="AB144" s="3126">
        <f>ROUND(SUM(AB133+AB140),1)</f>
        <v>6181.1</v>
      </c>
      <c r="AC144" s="3125"/>
      <c r="AD144" s="3334"/>
      <c r="AE144" s="3126">
        <f>AE133+AE140</f>
        <v>6259.6</v>
      </c>
      <c r="AF144" s="3125"/>
      <c r="AG144" s="3125"/>
      <c r="AH144" s="3329">
        <f>ROUND(SUM(AB144-AE144),1)</f>
        <v>-78.5</v>
      </c>
      <c r="AI144" s="255"/>
      <c r="AJ144" s="3330">
        <f>ROUND(IF(AE144=0,0,AH144/ABS(AE144)),3)</f>
        <v>-1.2999999999999999E-2</v>
      </c>
      <c r="AK144" s="3310"/>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14"/>
      <c r="Q145" s="3114"/>
      <c r="S145" s="517"/>
      <c r="U145" s="517"/>
      <c r="W145" s="517"/>
      <c r="Y145" s="517"/>
      <c r="AA145" s="540"/>
      <c r="AB145" s="3114"/>
      <c r="AD145" s="3335"/>
      <c r="AE145" s="3114"/>
      <c r="AH145" s="885"/>
      <c r="AI145" s="885"/>
      <c r="AJ145" s="885"/>
    </row>
    <row r="146" spans="1:37" ht="16.5" customHeight="1" thickBot="1">
      <c r="A146" s="541" t="s">
        <v>140</v>
      </c>
      <c r="C146" s="542">
        <f>ROUND(SUM(C16+C144),1)</f>
        <v>24932.2</v>
      </c>
      <c r="D146" s="251"/>
      <c r="E146" s="542">
        <f>ROUND(SUM(E16+E144),1)</f>
        <v>0</v>
      </c>
      <c r="F146" s="251"/>
      <c r="G146" s="542">
        <f>ROUND(SUM(G16+G144),1)</f>
        <v>0</v>
      </c>
      <c r="H146" s="251"/>
      <c r="I146" s="542">
        <f>ROUND(SUM(I16+I144),1)</f>
        <v>0</v>
      </c>
      <c r="J146" s="543"/>
      <c r="K146" s="542">
        <f>ROUND(SUM(K16+K144),1)</f>
        <v>0</v>
      </c>
      <c r="L146" s="543"/>
      <c r="M146" s="542">
        <f>ROUND(SUM(M16+M144),1)</f>
        <v>0</v>
      </c>
      <c r="N146" s="543"/>
      <c r="O146" s="3127">
        <f>ROUND(SUM(O16+O144),1)</f>
        <v>0</v>
      </c>
      <c r="P146" s="543"/>
      <c r="Q146" s="3127">
        <f>ROUND(SUM(Q16+Q144),1)</f>
        <v>0</v>
      </c>
      <c r="R146" s="543"/>
      <c r="S146" s="542">
        <f>ROUND(SUM(S16+S144),1)</f>
        <v>0</v>
      </c>
      <c r="T146" s="543"/>
      <c r="U146" s="542">
        <f>ROUND(SUM(U16+U144),1)</f>
        <v>0</v>
      </c>
      <c r="V146" s="543"/>
      <c r="W146" s="542">
        <f>ROUND(SUM(W16+W144),1)</f>
        <v>0</v>
      </c>
      <c r="X146" s="543"/>
      <c r="Y146" s="542">
        <f>ROUND(SUM(Y16+Y144),1)</f>
        <v>0</v>
      </c>
      <c r="Z146" s="251"/>
      <c r="AA146" s="544"/>
      <c r="AB146" s="3127">
        <f>ROUND(SUM(AB16+AB144),1)</f>
        <v>24932.2</v>
      </c>
      <c r="AC146" s="3128"/>
      <c r="AD146" s="3336"/>
      <c r="AE146" s="3127">
        <f>AE16+AE144</f>
        <v>20544.400000000001</v>
      </c>
      <c r="AF146" s="3128"/>
      <c r="AG146" s="3128"/>
      <c r="AH146" s="3127">
        <f>ROUND(SUM(AB146-AE146),1)</f>
        <v>4387.8</v>
      </c>
      <c r="AI146" s="255"/>
      <c r="AJ146" s="3337">
        <f>ROUND(IF(AE146=0,0,AH146/ABS(AE146)),3)</f>
        <v>0.214</v>
      </c>
      <c r="AK146" s="3310"/>
    </row>
    <row r="147" spans="1:37" ht="16.5" customHeight="1" thickTop="1">
      <c r="A147" s="545"/>
      <c r="C147" s="213"/>
      <c r="AH147" s="885"/>
      <c r="AI147" s="885"/>
      <c r="AJ147" s="885"/>
    </row>
    <row r="148" spans="1:37" ht="16.5" customHeight="1">
      <c r="A148" s="356" t="s">
        <v>141</v>
      </c>
      <c r="AH148" s="885"/>
      <c r="AI148" s="885"/>
      <c r="AJ148" s="885"/>
    </row>
    <row r="149" spans="1:37" ht="16.5" customHeight="1">
      <c r="A149" s="30"/>
      <c r="AH149" s="885"/>
      <c r="AI149" s="885"/>
      <c r="AJ149" s="885"/>
    </row>
    <row r="150" spans="1:37" ht="16.5" customHeight="1">
      <c r="A150" s="30"/>
      <c r="AH150" s="885"/>
      <c r="AI150" s="885"/>
      <c r="AJ150" s="885"/>
    </row>
    <row r="151" spans="1:37" ht="16.5" customHeight="1">
      <c r="A151" s="30"/>
      <c r="AH151" s="885"/>
      <c r="AI151" s="885"/>
      <c r="AJ151" s="885"/>
    </row>
    <row r="152" spans="1:37" ht="16.5" customHeight="1">
      <c r="AH152" s="885"/>
      <c r="AI152" s="885"/>
      <c r="AJ152" s="885"/>
    </row>
    <row r="153" spans="1:37" ht="16.5" customHeight="1">
      <c r="AH153" s="885"/>
      <c r="AI153" s="885"/>
      <c r="AJ153" s="885"/>
    </row>
    <row r="154" spans="1:37" ht="16.5" customHeight="1">
      <c r="AH154" s="885"/>
      <c r="AI154" s="885"/>
      <c r="AJ154" s="885"/>
    </row>
    <row r="155" spans="1:37" ht="16.5" customHeight="1">
      <c r="AH155" s="885"/>
      <c r="AI155" s="885"/>
      <c r="AJ155" s="885"/>
    </row>
    <row r="156" spans="1:37" ht="16.5" customHeight="1">
      <c r="AH156" s="885"/>
      <c r="AI156" s="885"/>
      <c r="AJ156" s="885"/>
    </row>
    <row r="157" spans="1:37" ht="16.5" customHeight="1">
      <c r="AH157" s="885"/>
      <c r="AI157" s="885"/>
      <c r="AJ157" s="885"/>
    </row>
    <row r="158" spans="1:37" ht="16.5" customHeight="1">
      <c r="AH158" s="885"/>
      <c r="AI158" s="885"/>
      <c r="AJ158" s="885"/>
    </row>
    <row r="159" spans="1:37" ht="16.5" customHeight="1">
      <c r="AH159" s="885"/>
      <c r="AI159" s="885"/>
      <c r="AJ159" s="885"/>
    </row>
    <row r="160" spans="1:37" ht="16.5" customHeight="1">
      <c r="AH160" s="885"/>
      <c r="AI160" s="885"/>
      <c r="AJ160" s="885"/>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7:AJ88 AJ94:AJ135 AJ29:AJ34 AJ21:AJ27 AJ41:AJ45 AJ36:AJ38 AJ84 AJ47:AJ54 AJ75:AJ78 AJ89:AJ91 AJ39:AJ40 AJ82" unlockedFormula="1"/>
    <ignoredError sqref="AH26 AH35:AI35 AH24:AH25 AH93:AI93 AJ55" formula="1"/>
    <ignoredError sqref="AJ35 AJ80"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60" workbookViewId="0"/>
  </sheetViews>
  <sheetFormatPr defaultColWidth="8.765625" defaultRowHeight="16.5" customHeight="1"/>
  <cols>
    <col min="1" max="1" width="43" style="2743" customWidth="1"/>
    <col min="2" max="2" width="1.765625" style="2743" customWidth="1"/>
    <col min="3" max="3" width="13.07421875" style="2743" customWidth="1"/>
    <col min="4" max="4" width="1.765625" style="2743" customWidth="1"/>
    <col min="5" max="5" width="13.07421875" style="2743" customWidth="1"/>
    <col min="6" max="6" width="1.765625" style="2743" customWidth="1"/>
    <col min="7" max="7" width="13.53515625" style="2743" customWidth="1"/>
    <col min="8" max="8" width="1.765625" style="2743" customWidth="1"/>
    <col min="9" max="9" width="13.765625" style="2743" customWidth="1"/>
    <col min="10" max="10" width="1.765625" style="2743" customWidth="1"/>
    <col min="11" max="11" width="14.53515625" style="2743" customWidth="1"/>
    <col min="12" max="12" width="1.765625" style="2743" customWidth="1"/>
    <col min="13" max="13" width="13.07421875" style="2743" customWidth="1"/>
    <col min="14" max="14" width="1.765625" style="2743" customWidth="1"/>
    <col min="15" max="15" width="14.07421875" style="1982" customWidth="1"/>
    <col min="16" max="16" width="1.765625" style="2743" customWidth="1"/>
    <col min="17" max="17" width="13.07421875" style="2743" customWidth="1"/>
    <col min="18" max="18" width="1.765625" style="2743" customWidth="1"/>
    <col min="19" max="19" width="13.765625" style="2743" customWidth="1"/>
    <col min="20" max="20" width="1.765625" style="2743" customWidth="1"/>
    <col min="21" max="21" width="13" style="2743" customWidth="1"/>
    <col min="22" max="22" width="1.765625" style="2743" customWidth="1"/>
    <col min="23" max="23" width="13.07421875" style="2743" customWidth="1"/>
    <col min="24" max="24" width="1.765625" style="2743" customWidth="1"/>
    <col min="25" max="25" width="13.07421875" style="2743" customWidth="1"/>
    <col min="26" max="27" width="1.765625" style="2743" customWidth="1"/>
    <col min="28" max="28" width="15" style="1982" customWidth="1"/>
    <col min="29" max="30" width="1.765625" style="1982" customWidth="1"/>
    <col min="31" max="31" width="12.07421875" style="1982" customWidth="1"/>
    <col min="32" max="33" width="1.765625" style="1982" customWidth="1"/>
    <col min="34" max="34" width="12.765625" style="1982" bestFit="1" customWidth="1"/>
    <col min="35" max="35" width="1" style="1982" customWidth="1"/>
    <col min="36" max="36" width="12.07421875" style="1982" bestFit="1" customWidth="1"/>
    <col min="37" max="16384" width="8.765625" style="2743"/>
  </cols>
  <sheetData>
    <row r="1" spans="1:37" ht="15.5">
      <c r="A1" s="2742" t="s">
        <v>885</v>
      </c>
    </row>
    <row r="2" spans="1:37" ht="15.5">
      <c r="A2" s="1426"/>
    </row>
    <row r="3" spans="1:37" ht="23">
      <c r="A3" s="2744" t="s">
        <v>0</v>
      </c>
      <c r="B3" s="1433"/>
      <c r="C3" s="1433"/>
      <c r="D3" s="1433"/>
      <c r="E3" s="1433"/>
      <c r="F3" s="1433"/>
      <c r="G3" s="1433"/>
      <c r="H3" s="1433"/>
      <c r="I3" s="1433"/>
      <c r="J3" s="1433"/>
      <c r="K3" s="1433"/>
      <c r="L3" s="1433"/>
      <c r="M3" s="1433"/>
      <c r="N3" s="1433"/>
      <c r="O3" s="3088"/>
      <c r="P3" s="1433"/>
      <c r="Q3" s="1433"/>
      <c r="R3" s="1433"/>
      <c r="S3" s="1433"/>
      <c r="T3" s="1433"/>
      <c r="U3" s="1433"/>
      <c r="V3" s="1433"/>
      <c r="W3" s="1433"/>
      <c r="X3" s="1433"/>
      <c r="Y3" s="1433"/>
      <c r="Z3" s="1433"/>
      <c r="AA3" s="1433"/>
      <c r="AB3" s="3088"/>
      <c r="AC3" s="3088"/>
      <c r="AD3" s="3088"/>
      <c r="AE3" s="3088"/>
      <c r="AF3" s="3088"/>
      <c r="AG3" s="3088"/>
      <c r="AI3" s="3088"/>
    </row>
    <row r="4" spans="1:37" ht="23">
      <c r="A4" s="2744" t="s">
        <v>1079</v>
      </c>
      <c r="B4" s="1433"/>
      <c r="C4" s="1433"/>
      <c r="D4" s="1433"/>
      <c r="E4" s="1433"/>
      <c r="F4" s="1433"/>
      <c r="G4" s="1433"/>
      <c r="H4" s="1433"/>
      <c r="I4" s="1433" t="s">
        <v>14</v>
      </c>
      <c r="J4" s="1433"/>
      <c r="K4" s="1433"/>
      <c r="L4" s="1433"/>
      <c r="M4" s="1433"/>
      <c r="N4" s="1433"/>
      <c r="O4" s="3088"/>
      <c r="P4" s="1433"/>
      <c r="Q4" s="1433"/>
      <c r="R4" s="1433"/>
      <c r="S4" s="1433"/>
      <c r="T4" s="1433"/>
      <c r="U4" s="1433"/>
      <c r="V4" s="1433"/>
      <c r="W4" s="1433"/>
      <c r="X4" s="1433"/>
      <c r="Y4" s="1433" t="s">
        <v>14</v>
      </c>
      <c r="Z4" s="1433"/>
      <c r="AA4" s="1433"/>
      <c r="AB4" s="3088"/>
      <c r="AC4" s="3088"/>
      <c r="AD4" s="3088"/>
      <c r="AE4" s="3088"/>
      <c r="AF4" s="3088"/>
      <c r="AG4" s="3088"/>
      <c r="AI4" s="3088"/>
    </row>
    <row r="5" spans="1:37" ht="23.25" customHeight="1">
      <c r="A5" s="2745" t="s">
        <v>1080</v>
      </c>
      <c r="B5" s="1433"/>
      <c r="C5" s="1433"/>
      <c r="D5" s="1433"/>
      <c r="E5" s="1433"/>
      <c r="F5" s="1433"/>
      <c r="G5" s="1433"/>
      <c r="H5" s="1433"/>
      <c r="I5" s="1433"/>
      <c r="J5" s="1433"/>
      <c r="K5" s="1433"/>
      <c r="L5" s="1433"/>
      <c r="M5" s="1433"/>
      <c r="N5" s="1433"/>
      <c r="O5" s="3088"/>
      <c r="P5" s="1433"/>
      <c r="Q5" s="1433"/>
      <c r="R5" s="1433"/>
      <c r="S5" s="1433"/>
      <c r="T5" s="1433"/>
      <c r="U5" s="1433"/>
      <c r="V5" s="1433"/>
      <c r="W5" s="1433"/>
      <c r="X5" s="1433"/>
      <c r="Y5" s="1433"/>
      <c r="Z5" s="1433"/>
      <c r="AA5" s="1433"/>
      <c r="AC5" s="3932"/>
      <c r="AD5" s="3933"/>
      <c r="AE5" s="3933"/>
      <c r="AF5" s="3933"/>
      <c r="AG5" s="3933"/>
      <c r="AH5" s="3933"/>
      <c r="AI5" s="3933"/>
      <c r="AJ5" s="3933"/>
    </row>
    <row r="6" spans="1:37" ht="23">
      <c r="A6" s="2745" t="str">
        <f>'Cashflow Governmental'!A6</f>
        <v xml:space="preserve">FISCAL YEAR 2021-2022   </v>
      </c>
      <c r="B6" s="1433"/>
      <c r="C6" s="1433"/>
      <c r="D6" s="1433"/>
      <c r="E6" s="1433"/>
      <c r="F6" s="1433"/>
      <c r="G6" s="1433"/>
      <c r="H6" s="1433"/>
      <c r="I6" s="1433"/>
      <c r="J6" s="1433"/>
      <c r="K6" s="1433"/>
      <c r="L6" s="1433"/>
      <c r="M6" s="1433"/>
      <c r="N6" s="1433"/>
      <c r="O6" s="3088"/>
      <c r="P6" s="1433"/>
      <c r="Q6" s="1433"/>
      <c r="R6" s="1433"/>
      <c r="S6" s="1433"/>
      <c r="T6" s="1433"/>
      <c r="U6" s="1433"/>
      <c r="V6" s="1433"/>
      <c r="W6" s="1433"/>
      <c r="X6" s="1433"/>
      <c r="Y6" s="1433"/>
      <c r="Z6" s="1433"/>
      <c r="AA6" s="1433"/>
      <c r="AB6" s="3088"/>
      <c r="AC6" s="3088"/>
      <c r="AD6" s="3088"/>
      <c r="AE6" s="3088"/>
      <c r="AF6" s="3088"/>
      <c r="AG6" s="3088"/>
      <c r="AI6" s="3088"/>
    </row>
    <row r="7" spans="1:37" ht="23.25" customHeight="1">
      <c r="A7" s="2744" t="s">
        <v>1280</v>
      </c>
      <c r="B7" s="1433"/>
      <c r="C7" s="1433"/>
      <c r="D7" s="1433"/>
      <c r="E7" s="1433"/>
      <c r="F7" s="1433"/>
      <c r="G7" s="1433"/>
      <c r="H7" s="1433"/>
      <c r="I7" s="1433"/>
      <c r="J7" s="1433"/>
      <c r="K7" s="1433"/>
      <c r="L7" s="1433"/>
      <c r="M7" s="1433"/>
      <c r="N7" s="1433"/>
      <c r="O7" s="3088"/>
      <c r="P7" s="1433"/>
      <c r="Q7" s="1433"/>
      <c r="R7" s="1433"/>
      <c r="S7" s="1433"/>
      <c r="T7" s="1433"/>
      <c r="U7" s="1433"/>
      <c r="V7" s="1433"/>
      <c r="W7" s="1433"/>
      <c r="X7" s="1433"/>
      <c r="Y7" s="1433"/>
      <c r="Z7" s="1433"/>
      <c r="AA7" s="1433"/>
      <c r="AB7" s="3088"/>
      <c r="AC7" s="3088"/>
      <c r="AD7" s="3088"/>
      <c r="AE7" s="3088"/>
      <c r="AF7" s="3088"/>
      <c r="AG7" s="3088"/>
      <c r="AI7" s="3088"/>
    </row>
    <row r="8" spans="1:37" ht="15.5">
      <c r="A8" s="1433"/>
      <c r="B8" s="1433"/>
      <c r="C8" s="1433"/>
      <c r="D8" s="1433"/>
      <c r="E8" s="1433"/>
      <c r="F8" s="1433"/>
      <c r="G8" s="1433"/>
      <c r="H8" s="1433"/>
      <c r="I8" s="1433"/>
      <c r="J8" s="1433"/>
      <c r="K8" s="1433"/>
      <c r="L8" s="1433"/>
      <c r="M8" s="1433"/>
      <c r="N8" s="1433"/>
      <c r="O8" s="3088"/>
      <c r="P8" s="1433"/>
      <c r="Q8" s="1433"/>
      <c r="R8" s="1433"/>
      <c r="S8" s="1433"/>
      <c r="T8" s="1433"/>
      <c r="U8" s="1433"/>
      <c r="V8" s="1433"/>
      <c r="W8" s="1433"/>
      <c r="X8" s="1433"/>
      <c r="Y8" s="1433"/>
      <c r="Z8" s="1433"/>
      <c r="AA8" s="1433"/>
      <c r="AB8" s="3088"/>
      <c r="AC8" s="3088"/>
      <c r="AD8" s="3088"/>
      <c r="AE8" s="3088"/>
      <c r="AF8" s="3088"/>
      <c r="AG8" s="3088"/>
      <c r="AI8" s="3088"/>
    </row>
    <row r="9" spans="1:37" ht="15.5">
      <c r="A9" s="1433"/>
      <c r="B9" s="1433"/>
      <c r="C9" s="1433"/>
      <c r="D9" s="1433"/>
      <c r="E9" s="1433"/>
      <c r="F9" s="1433"/>
      <c r="G9" s="1433"/>
      <c r="H9" s="1433"/>
      <c r="I9" s="1433"/>
      <c r="J9" s="1433"/>
      <c r="K9" s="1433"/>
      <c r="L9" s="1433"/>
      <c r="M9" s="1433"/>
      <c r="N9" s="1433"/>
      <c r="O9" s="3088"/>
      <c r="P9" s="1433"/>
      <c r="Q9" s="1433"/>
      <c r="R9" s="1433"/>
      <c r="S9" s="1433"/>
      <c r="T9" s="1433"/>
      <c r="U9" s="1433"/>
      <c r="V9" s="1433"/>
      <c r="W9" s="1433"/>
      <c r="X9" s="1433"/>
      <c r="Y9" s="1433"/>
      <c r="Z9" s="1433"/>
      <c r="AA9" s="1433"/>
      <c r="AB9" s="3088"/>
      <c r="AC9" s="3088"/>
      <c r="AD9" s="3088"/>
      <c r="AE9" s="3088"/>
      <c r="AF9" s="3088"/>
      <c r="AG9" s="3088"/>
      <c r="AI9" s="3088"/>
    </row>
    <row r="10" spans="1:37" ht="15.5">
      <c r="A10" s="1433"/>
      <c r="B10" s="1433"/>
      <c r="C10" s="1433"/>
      <c r="D10" s="1433"/>
      <c r="E10" s="1433"/>
      <c r="F10" s="1433"/>
      <c r="G10" s="1433"/>
      <c r="H10" s="1433"/>
      <c r="I10" s="1433"/>
      <c r="J10" s="1433"/>
      <c r="K10" s="1433"/>
      <c r="L10" s="1433"/>
      <c r="M10" s="1433"/>
      <c r="N10" s="1433"/>
      <c r="O10" s="3088"/>
      <c r="P10" s="1433"/>
      <c r="Q10" s="1433"/>
      <c r="R10" s="1433"/>
      <c r="S10" s="1433"/>
      <c r="T10" s="1433"/>
      <c r="U10" s="1433"/>
      <c r="V10" s="1433"/>
      <c r="W10" s="1433"/>
      <c r="X10" s="1433"/>
      <c r="Y10" s="1433"/>
      <c r="Z10" s="1433"/>
      <c r="AA10" s="1433"/>
      <c r="AB10" s="3088"/>
      <c r="AC10" s="3088"/>
      <c r="AD10" s="3088"/>
      <c r="AE10" s="3088"/>
      <c r="AF10" s="3088"/>
      <c r="AG10" s="3088"/>
      <c r="AI10" s="3088"/>
    </row>
    <row r="11" spans="1:37" ht="15.5">
      <c r="A11" s="1433"/>
      <c r="B11" s="1433"/>
      <c r="C11" s="1433" t="s">
        <v>14</v>
      </c>
      <c r="D11" s="1433" t="s">
        <v>14</v>
      </c>
      <c r="E11" s="1433"/>
      <c r="F11" s="1433"/>
      <c r="G11" s="1433"/>
      <c r="H11" s="1433"/>
      <c r="I11" s="1433"/>
      <c r="J11" s="1433"/>
      <c r="K11" s="1433"/>
      <c r="L11" s="1433"/>
      <c r="M11" s="1433"/>
      <c r="N11" s="1433"/>
      <c r="O11" s="3088"/>
      <c r="P11" s="1433"/>
      <c r="Q11" s="1433"/>
      <c r="R11" s="1433"/>
      <c r="S11" s="1433"/>
      <c r="T11" s="1433"/>
      <c r="U11" s="1433"/>
      <c r="V11" s="1433"/>
      <c r="W11" s="1433"/>
      <c r="X11" s="1433"/>
      <c r="Y11" s="1433"/>
      <c r="Z11" s="1433"/>
      <c r="AA11" s="1433"/>
      <c r="AC11" s="3088"/>
      <c r="AD11" s="3088"/>
      <c r="AE11" s="3088"/>
      <c r="AF11" s="3088"/>
      <c r="AG11" s="3088"/>
      <c r="AI11" s="3088"/>
    </row>
    <row r="12" spans="1:37" ht="15.5">
      <c r="A12" s="1433"/>
      <c r="B12" s="1433"/>
      <c r="C12" s="1433"/>
      <c r="D12" s="1433"/>
      <c r="E12" s="1433"/>
      <c r="F12" s="1433"/>
      <c r="G12" s="1433"/>
      <c r="H12" s="1433"/>
      <c r="I12" s="1433"/>
      <c r="J12" s="1433"/>
      <c r="K12" s="1433"/>
      <c r="L12" s="1433"/>
      <c r="M12" s="1433"/>
      <c r="N12" s="1433"/>
      <c r="O12" s="3088"/>
      <c r="P12" s="1433"/>
      <c r="Q12" s="1433"/>
      <c r="R12" s="1433"/>
      <c r="S12" s="1433"/>
      <c r="T12" s="1433"/>
      <c r="U12" s="1433"/>
      <c r="V12" s="1433"/>
      <c r="W12" s="1433"/>
      <c r="X12" s="1433"/>
      <c r="Z12" s="1433"/>
      <c r="AA12" s="2746"/>
      <c r="AB12" s="3934" t="str">
        <f>'Cashflow Governmental'!AB12:AJ12</f>
        <v>1 Month Ended April 30</v>
      </c>
      <c r="AC12" s="3934"/>
      <c r="AD12" s="3934"/>
      <c r="AE12" s="3934"/>
      <c r="AF12" s="3934"/>
      <c r="AG12" s="3934"/>
      <c r="AH12" s="3934"/>
      <c r="AI12" s="3934"/>
      <c r="AJ12" s="3934"/>
    </row>
    <row r="13" spans="1:37" ht="15.5">
      <c r="A13" s="1433"/>
      <c r="B13" s="1433"/>
      <c r="C13" s="2424" t="str">
        <f>'Cashflow Governmental'!C13</f>
        <v>2021</v>
      </c>
      <c r="D13" s="2425"/>
      <c r="E13" s="2425"/>
      <c r="F13" s="2425"/>
      <c r="G13" s="2425"/>
      <c r="H13" s="2425"/>
      <c r="I13" s="2425"/>
      <c r="J13" s="2425"/>
      <c r="K13" s="2425"/>
      <c r="L13" s="2425"/>
      <c r="M13" s="2425"/>
      <c r="N13" s="2425"/>
      <c r="O13" s="3072"/>
      <c r="P13" s="2425"/>
      <c r="Q13" s="2425"/>
      <c r="R13" s="2425"/>
      <c r="S13" s="2425"/>
      <c r="T13" s="2425"/>
      <c r="U13" s="2424">
        <f>'Cashflow Governmental'!U13</f>
        <v>2022</v>
      </c>
      <c r="V13" s="2425"/>
      <c r="W13" s="2425"/>
      <c r="X13" s="2425"/>
      <c r="Y13" s="2425"/>
      <c r="Z13" s="2425"/>
      <c r="AA13" s="2425"/>
      <c r="AB13" s="3072"/>
      <c r="AC13" s="3129"/>
      <c r="AD13" s="3129"/>
      <c r="AE13" s="3129"/>
      <c r="AF13" s="3072"/>
      <c r="AG13" s="3072"/>
      <c r="AH13" s="3338" t="s">
        <v>7</v>
      </c>
      <c r="AI13" s="3339"/>
      <c r="AJ13" s="3338" t="s">
        <v>8</v>
      </c>
    </row>
    <row r="14" spans="1:37" ht="15.5">
      <c r="A14" s="1433"/>
      <c r="B14" s="1433"/>
      <c r="C14" s="2747" t="s">
        <v>123</v>
      </c>
      <c r="D14" s="2425"/>
      <c r="E14" s="2747" t="s">
        <v>124</v>
      </c>
      <c r="F14" s="2425"/>
      <c r="G14" s="2747" t="s">
        <v>125</v>
      </c>
      <c r="H14" s="2425"/>
      <c r="I14" s="2747" t="s">
        <v>126</v>
      </c>
      <c r="J14" s="2425"/>
      <c r="K14" s="2747" t="s">
        <v>127</v>
      </c>
      <c r="L14" s="2425"/>
      <c r="M14" s="2747" t="s">
        <v>128</v>
      </c>
      <c r="N14" s="2425"/>
      <c r="O14" s="3338" t="s">
        <v>129</v>
      </c>
      <c r="P14" s="2425"/>
      <c r="Q14" s="2748" t="s">
        <v>130</v>
      </c>
      <c r="R14" s="2425"/>
      <c r="S14" s="2747" t="s">
        <v>131</v>
      </c>
      <c r="T14" s="2425"/>
      <c r="U14" s="2747" t="s">
        <v>132</v>
      </c>
      <c r="V14" s="2425"/>
      <c r="W14" s="2747" t="s">
        <v>133</v>
      </c>
      <c r="X14" s="2425"/>
      <c r="Y14" s="2747" t="s">
        <v>134</v>
      </c>
      <c r="Z14" s="2425"/>
      <c r="AA14" s="2425"/>
      <c r="AB14" s="3377">
        <f>'Cashflow Governmental'!AB14</f>
        <v>2021</v>
      </c>
      <c r="AC14" s="3072"/>
      <c r="AD14" s="3072"/>
      <c r="AE14" s="3377">
        <f>'Cashflow Governmental'!AE14</f>
        <v>2020</v>
      </c>
      <c r="AF14" s="3129"/>
      <c r="AG14" s="3129"/>
      <c r="AH14" s="3340" t="s">
        <v>11</v>
      </c>
      <c r="AI14" s="3339"/>
      <c r="AJ14" s="3340" t="s">
        <v>12</v>
      </c>
    </row>
    <row r="15" spans="1:37" ht="5.25" customHeight="1">
      <c r="A15" s="1433"/>
      <c r="B15" s="1433"/>
      <c r="C15" s="2749"/>
      <c r="D15" s="1433"/>
      <c r="E15" s="2749"/>
      <c r="F15" s="1433"/>
      <c r="G15" s="2749"/>
      <c r="H15" s="1433"/>
      <c r="I15" s="2749"/>
      <c r="J15" s="1433"/>
      <c r="K15" s="2749"/>
      <c r="L15" s="1433"/>
      <c r="M15" s="2749"/>
      <c r="N15" s="1433"/>
      <c r="O15" s="3378" t="s">
        <v>14</v>
      </c>
      <c r="P15" s="1433"/>
      <c r="Q15" s="2750"/>
      <c r="R15" s="1433"/>
      <c r="S15" s="2749"/>
      <c r="T15" s="1433"/>
      <c r="U15" s="2749" t="s">
        <v>14</v>
      </c>
      <c r="V15" s="1433"/>
      <c r="W15" s="2749"/>
      <c r="X15" s="1433"/>
      <c r="Y15" s="2749"/>
      <c r="Z15" s="1433"/>
      <c r="AA15" s="1433"/>
      <c r="AB15" s="3378"/>
      <c r="AC15" s="3088"/>
      <c r="AD15" s="3088"/>
      <c r="AE15" s="3378"/>
      <c r="AF15" s="3341"/>
      <c r="AG15" s="3341"/>
      <c r="AI15" s="3088"/>
    </row>
    <row r="16" spans="1:37" ht="15.5">
      <c r="A16" s="2751" t="s">
        <v>135</v>
      </c>
      <c r="B16" s="1433"/>
      <c r="C16" s="2752">
        <f>'Exhibit F'!D12+'Exh D Special Revenue State Fed'!G41+'Exhibit H'!B12</f>
        <v>14934.4</v>
      </c>
      <c r="D16" s="2753"/>
      <c r="E16" s="2753"/>
      <c r="F16" s="2753"/>
      <c r="G16" s="2753"/>
      <c r="H16" s="2753"/>
      <c r="I16" s="2753"/>
      <c r="J16" s="2753"/>
      <c r="K16" s="2753"/>
      <c r="L16" s="2753"/>
      <c r="M16" s="2753"/>
      <c r="N16" s="2753"/>
      <c r="O16" s="2752"/>
      <c r="P16" s="2753"/>
      <c r="Q16" s="2753"/>
      <c r="R16" s="2753"/>
      <c r="S16" s="2753"/>
      <c r="T16" s="2753"/>
      <c r="U16" s="2753"/>
      <c r="V16" s="2753"/>
      <c r="W16" s="2753"/>
      <c r="X16" s="2753"/>
      <c r="Y16" s="2753"/>
      <c r="Z16" s="2753"/>
      <c r="AA16" s="2754"/>
      <c r="AB16" s="2752">
        <f>C16</f>
        <v>14934.4</v>
      </c>
      <c r="AC16" s="2752"/>
      <c r="AD16" s="3379"/>
      <c r="AE16" s="2752">
        <f>'Exhibit F'!AF12+'Exhibit G State'!AG13+'Exhibit H'!AD12</f>
        <v>14408.300000000001</v>
      </c>
      <c r="AF16" s="3342"/>
      <c r="AG16" s="3342"/>
      <c r="AH16" s="2752">
        <f>ROUND(SUM(AB16-AE16),1)</f>
        <v>526.1</v>
      </c>
      <c r="AI16" s="3072"/>
      <c r="AJ16" s="1847">
        <f>ROUND(SUM(AH16/AE16),3)</f>
        <v>3.6999999999999998E-2</v>
      </c>
      <c r="AK16" s="2755"/>
    </row>
    <row r="17" spans="1:36" ht="15.5">
      <c r="A17" s="1433"/>
      <c r="B17" s="1433"/>
      <c r="C17" s="1433" t="s">
        <v>14</v>
      </c>
      <c r="D17" s="1433"/>
      <c r="E17" s="2676"/>
      <c r="F17" s="1433"/>
      <c r="G17" s="2676"/>
      <c r="H17" s="1433"/>
      <c r="I17" s="2676"/>
      <c r="J17" s="1433"/>
      <c r="K17" s="2676"/>
      <c r="L17" s="1433"/>
      <c r="M17" s="2676"/>
      <c r="N17" s="1433"/>
      <c r="O17" s="3837"/>
      <c r="P17" s="1433"/>
      <c r="Q17" s="2676"/>
      <c r="R17" s="1433"/>
      <c r="S17" s="2676"/>
      <c r="T17" s="1433"/>
      <c r="U17" s="2676"/>
      <c r="V17" s="1433"/>
      <c r="W17" s="2753"/>
      <c r="X17" s="1433"/>
      <c r="Y17" s="2676"/>
      <c r="Z17" s="1433"/>
      <c r="AA17" s="2756"/>
      <c r="AB17" s="3088" t="s">
        <v>14</v>
      </c>
      <c r="AC17" s="3088"/>
      <c r="AD17" s="3380"/>
      <c r="AE17" s="3088" t="s">
        <v>14</v>
      </c>
      <c r="AF17" s="3341"/>
      <c r="AG17" s="3341"/>
      <c r="AH17" s="3343"/>
      <c r="AI17" s="3088"/>
      <c r="AJ17" s="3343"/>
    </row>
    <row r="18" spans="1:36" ht="15.5">
      <c r="A18" s="2002" t="s">
        <v>13</v>
      </c>
      <c r="B18" s="1433"/>
      <c r="C18" s="1433"/>
      <c r="D18" s="1433"/>
      <c r="E18" s="2676"/>
      <c r="F18" s="1433"/>
      <c r="G18" s="2676"/>
      <c r="H18" s="1433"/>
      <c r="I18" s="2676"/>
      <c r="J18" s="1433"/>
      <c r="K18" s="2676"/>
      <c r="L18" s="1433"/>
      <c r="M18" s="2676"/>
      <c r="N18" s="1433"/>
      <c r="O18" s="3837"/>
      <c r="P18" s="1433"/>
      <c r="Q18" s="2676"/>
      <c r="R18" s="1433"/>
      <c r="S18" s="2676"/>
      <c r="T18" s="1433"/>
      <c r="U18" s="2676"/>
      <c r="V18" s="1433"/>
      <c r="W18" s="2676"/>
      <c r="X18" s="1433"/>
      <c r="Y18" s="2676"/>
      <c r="Z18" s="1433"/>
      <c r="AA18" s="2756"/>
      <c r="AB18" s="3088"/>
      <c r="AC18" s="3088"/>
      <c r="AD18" s="3380"/>
      <c r="AE18" s="3088"/>
      <c r="AF18" s="3341"/>
      <c r="AG18" s="3341"/>
      <c r="AH18" s="3343"/>
      <c r="AI18" s="3088"/>
      <c r="AJ18" s="3343"/>
    </row>
    <row r="19" spans="1:36" ht="15.5">
      <c r="A19" s="2453" t="s">
        <v>997</v>
      </c>
      <c r="B19" s="1433"/>
      <c r="C19" s="1433"/>
      <c r="D19" s="1433"/>
      <c r="E19" s="2676"/>
      <c r="F19" s="1433"/>
      <c r="G19" s="2676"/>
      <c r="H19" s="1433"/>
      <c r="I19" s="2676"/>
      <c r="J19" s="1433"/>
      <c r="K19" s="2676"/>
      <c r="L19" s="1433"/>
      <c r="M19" s="2676"/>
      <c r="N19" s="1433"/>
      <c r="O19" s="3837"/>
      <c r="P19" s="1433"/>
      <c r="Q19" s="2676"/>
      <c r="R19" s="1433"/>
      <c r="S19" s="2676"/>
      <c r="T19" s="1433"/>
      <c r="U19" s="2676"/>
      <c r="V19" s="1433"/>
      <c r="W19" s="2676"/>
      <c r="X19" s="1433"/>
      <c r="Y19" s="2676"/>
      <c r="Z19" s="1433"/>
      <c r="AA19" s="2757"/>
      <c r="AB19" s="3088"/>
      <c r="AC19" s="3088"/>
      <c r="AD19" s="3380"/>
      <c r="AE19" s="3088"/>
      <c r="AF19" s="3341"/>
      <c r="AG19" s="3341"/>
      <c r="AH19" s="3343"/>
      <c r="AI19" s="3088"/>
      <c r="AJ19" s="3343"/>
    </row>
    <row r="20" spans="1:36" ht="15.5">
      <c r="A20" s="2454" t="s">
        <v>1062</v>
      </c>
      <c r="B20" s="1433"/>
      <c r="C20" s="1433"/>
      <c r="D20" s="1433"/>
      <c r="E20" s="1432"/>
      <c r="F20" s="1433"/>
      <c r="G20" s="2676"/>
      <c r="H20" s="1433"/>
      <c r="I20" s="2676"/>
      <c r="J20" s="1433"/>
      <c r="K20" s="2676"/>
      <c r="L20" s="1433"/>
      <c r="M20" s="2676"/>
      <c r="N20" s="1433"/>
      <c r="O20" s="3837"/>
      <c r="P20" s="1433"/>
      <c r="Q20" s="2676"/>
      <c r="R20" s="1433"/>
      <c r="S20" s="2676"/>
      <c r="T20" s="1433"/>
      <c r="U20" s="2676"/>
      <c r="V20" s="1433"/>
      <c r="W20" s="2676"/>
      <c r="X20" s="1433"/>
      <c r="Y20" s="2676"/>
      <c r="Z20" s="1433"/>
      <c r="AA20" s="2756"/>
      <c r="AB20" s="3088"/>
      <c r="AC20" s="3088"/>
      <c r="AD20" s="3380"/>
      <c r="AE20" s="3088"/>
      <c r="AF20" s="3341"/>
      <c r="AG20" s="3341"/>
      <c r="AH20" s="3343"/>
      <c r="AI20" s="3088"/>
      <c r="AJ20" s="3343"/>
    </row>
    <row r="21" spans="1:36" ht="15.5">
      <c r="A21" s="2225" t="s">
        <v>1003</v>
      </c>
      <c r="B21" s="1433"/>
      <c r="C21" s="1432">
        <f>+'Exhibit F'!D17</f>
        <v>3601.8</v>
      </c>
      <c r="D21" s="1432"/>
      <c r="E21" s="1432"/>
      <c r="F21" s="1432"/>
      <c r="G21" s="1432"/>
      <c r="H21" s="1432"/>
      <c r="I21" s="1432"/>
      <c r="J21" s="1432"/>
      <c r="K21" s="1432"/>
      <c r="L21" s="1432"/>
      <c r="M21" s="1432"/>
      <c r="N21" s="1432"/>
      <c r="O21" s="3130"/>
      <c r="P21" s="1433"/>
      <c r="Q21" s="1432"/>
      <c r="R21" s="1433"/>
      <c r="S21" s="1432"/>
      <c r="T21" s="1433"/>
      <c r="U21" s="1432"/>
      <c r="V21" s="1433"/>
      <c r="W21" s="1432"/>
      <c r="X21" s="1433"/>
      <c r="Y21" s="1432"/>
      <c r="Z21" s="1433"/>
      <c r="AA21" s="2756"/>
      <c r="AB21" s="3130">
        <f>ROUND(SUM(C21:Y21),1)</f>
        <v>3601.8</v>
      </c>
      <c r="AC21" s="3088"/>
      <c r="AD21" s="3380"/>
      <c r="AE21" s="3130">
        <f>+'Exhibit F'!AF17</f>
        <v>3187.3</v>
      </c>
      <c r="AF21" s="3341"/>
      <c r="AG21" s="3341"/>
      <c r="AH21" s="1992">
        <f>ROUND(SUM(+AB21-AE21),1)</f>
        <v>414.5</v>
      </c>
      <c r="AI21" s="2459"/>
      <c r="AJ21" s="1810">
        <f t="shared" ref="AJ21:AJ26" si="0">ROUND(SUM(+AH21/ABS(AE21)),3)</f>
        <v>0.13</v>
      </c>
    </row>
    <row r="22" spans="1:36" ht="15.5">
      <c r="A22" s="2225" t="s">
        <v>1270</v>
      </c>
      <c r="B22" s="1433"/>
      <c r="C22" s="1432">
        <f>+'Exhibit F'!D18</f>
        <v>3342.2000000000003</v>
      </c>
      <c r="D22" s="1432"/>
      <c r="E22" s="1432"/>
      <c r="F22" s="1432"/>
      <c r="G22" s="1432"/>
      <c r="H22" s="1432"/>
      <c r="I22" s="1432"/>
      <c r="J22" s="1432"/>
      <c r="K22" s="1432"/>
      <c r="L22" s="1432"/>
      <c r="M22" s="1432"/>
      <c r="N22" s="1432"/>
      <c r="O22" s="3130"/>
      <c r="P22" s="1433"/>
      <c r="Q22" s="1432"/>
      <c r="R22" s="1433"/>
      <c r="S22" s="1432"/>
      <c r="T22" s="1433"/>
      <c r="U22" s="1432"/>
      <c r="V22" s="1433"/>
      <c r="W22" s="1432"/>
      <c r="X22" s="1433"/>
      <c r="Y22" s="1432"/>
      <c r="Z22" s="1433"/>
      <c r="AA22" s="2756"/>
      <c r="AB22" s="3130">
        <f>ROUND(SUM(C22:Y22),1)</f>
        <v>3342.2</v>
      </c>
      <c r="AC22" s="3088"/>
      <c r="AD22" s="3380"/>
      <c r="AE22" s="3130">
        <f>+'Exhibit F'!AF18</f>
        <v>211.6</v>
      </c>
      <c r="AF22" s="3341"/>
      <c r="AG22" s="3341"/>
      <c r="AH22" s="1992">
        <f t="shared" ref="AH22:AH28" si="1">ROUND(SUM(+AB22-AE22),1)</f>
        <v>3130.6</v>
      </c>
      <c r="AI22" s="2459"/>
      <c r="AJ22" s="1821">
        <f t="shared" si="0"/>
        <v>14.795</v>
      </c>
    </row>
    <row r="23" spans="1:36" ht="15.5">
      <c r="A23" s="2225" t="s">
        <v>1004</v>
      </c>
      <c r="B23" s="1433"/>
      <c r="C23" s="1432">
        <f>+'Exhibit F'!D19</f>
        <v>913.6</v>
      </c>
      <c r="D23" s="1432"/>
      <c r="E23" s="1432"/>
      <c r="F23" s="1432"/>
      <c r="G23" s="1432"/>
      <c r="H23" s="1432"/>
      <c r="I23" s="1432"/>
      <c r="J23" s="1432"/>
      <c r="K23" s="1432"/>
      <c r="L23" s="1432"/>
      <c r="M23" s="1432"/>
      <c r="N23" s="1432"/>
      <c r="O23" s="3130"/>
      <c r="P23" s="1433"/>
      <c r="Q23" s="1432"/>
      <c r="R23" s="1433"/>
      <c r="S23" s="1432"/>
      <c r="T23" s="1433"/>
      <c r="U23" s="1432"/>
      <c r="V23" s="1433"/>
      <c r="W23" s="1432"/>
      <c r="X23" s="1433"/>
      <c r="Y23" s="1432"/>
      <c r="Z23" s="1433"/>
      <c r="AA23" s="2756"/>
      <c r="AB23" s="3130">
        <f t="shared" ref="AB23:AB29" si="2">ROUND(SUM(C23:Y23),1)</f>
        <v>913.6</v>
      </c>
      <c r="AC23" s="3088"/>
      <c r="AD23" s="3380"/>
      <c r="AE23" s="3130">
        <f>+'Exhibit F'!AF19</f>
        <v>339.1</v>
      </c>
      <c r="AF23" s="3341"/>
      <c r="AG23" s="3341"/>
      <c r="AH23" s="1992">
        <f t="shared" si="1"/>
        <v>574.5</v>
      </c>
      <c r="AI23" s="2459"/>
      <c r="AJ23" s="1810">
        <f t="shared" si="0"/>
        <v>1.694</v>
      </c>
    </row>
    <row r="24" spans="1:36" ht="15.5">
      <c r="A24" s="2758" t="s">
        <v>1005</v>
      </c>
      <c r="B24" s="1433"/>
      <c r="C24" s="1432">
        <f>+'Exhibit F'!D20</f>
        <v>-203</v>
      </c>
      <c r="D24" s="1432"/>
      <c r="E24" s="1432"/>
      <c r="F24" s="1432"/>
      <c r="G24" s="1432"/>
      <c r="H24" s="1432"/>
      <c r="I24" s="1432"/>
      <c r="J24" s="1432"/>
      <c r="K24" s="1432"/>
      <c r="L24" s="1432"/>
      <c r="M24" s="1432"/>
      <c r="N24" s="1432"/>
      <c r="O24" s="3130"/>
      <c r="P24" s="1433"/>
      <c r="Q24" s="1432"/>
      <c r="R24" s="1433"/>
      <c r="S24" s="1432"/>
      <c r="T24" s="1433"/>
      <c r="U24" s="1432"/>
      <c r="V24" s="1433"/>
      <c r="W24" s="1432"/>
      <c r="X24" s="1433"/>
      <c r="Y24" s="1432"/>
      <c r="Z24" s="1433"/>
      <c r="AA24" s="2756"/>
      <c r="AB24" s="3130">
        <f>ROUND(SUM(C24:Y24),1)</f>
        <v>-203</v>
      </c>
      <c r="AC24" s="3088"/>
      <c r="AD24" s="3380"/>
      <c r="AE24" s="3130">
        <f>+'Exhibit F'!AF20</f>
        <v>-69.8</v>
      </c>
      <c r="AF24" s="3341"/>
      <c r="AG24" s="3341"/>
      <c r="AH24" s="1992">
        <f>-ROUND(SUM(+AB24-AE24),1)</f>
        <v>133.19999999999999</v>
      </c>
      <c r="AI24" s="2459"/>
      <c r="AJ24" s="1810">
        <f t="shared" si="0"/>
        <v>1.9079999999999999</v>
      </c>
    </row>
    <row r="25" spans="1:36" ht="15.5">
      <c r="A25" s="2758" t="s">
        <v>1269</v>
      </c>
      <c r="B25" s="1433"/>
      <c r="C25" s="1432">
        <f>+'Exhibit F'!D21</f>
        <v>154.1</v>
      </c>
      <c r="D25" s="1432"/>
      <c r="E25" s="1432"/>
      <c r="F25" s="1432"/>
      <c r="G25" s="1432"/>
      <c r="H25" s="1432"/>
      <c r="I25" s="1432"/>
      <c r="J25" s="1432"/>
      <c r="K25" s="1432"/>
      <c r="L25" s="1432"/>
      <c r="M25" s="1432"/>
      <c r="N25" s="1432"/>
      <c r="O25" s="3130"/>
      <c r="P25" s="1433"/>
      <c r="Q25" s="1432"/>
      <c r="R25" s="1433"/>
      <c r="S25" s="1432"/>
      <c r="T25" s="1433"/>
      <c r="U25" s="1432"/>
      <c r="V25" s="1433"/>
      <c r="W25" s="1432"/>
      <c r="X25" s="1433"/>
      <c r="Y25" s="1432"/>
      <c r="Z25" s="1433"/>
      <c r="AA25" s="2756"/>
      <c r="AB25" s="3130">
        <f t="shared" si="2"/>
        <v>154.1</v>
      </c>
      <c r="AC25" s="3088"/>
      <c r="AD25" s="3380"/>
      <c r="AE25" s="3130">
        <f>+'Exhibit F'!AF21</f>
        <v>107.4</v>
      </c>
      <c r="AF25" s="3341"/>
      <c r="AG25" s="3341"/>
      <c r="AH25" s="1992">
        <f t="shared" si="1"/>
        <v>46.7</v>
      </c>
      <c r="AI25" s="2459"/>
      <c r="AJ25" s="1810">
        <f t="shared" si="0"/>
        <v>0.435</v>
      </c>
    </row>
    <row r="26" spans="1:36" ht="15.5">
      <c r="A26" s="2307" t="s">
        <v>1006</v>
      </c>
      <c r="B26" s="1433"/>
      <c r="C26" s="2034">
        <f>ROUND(SUM(C21:C25),1)</f>
        <v>7808.7</v>
      </c>
      <c r="D26" s="1433"/>
      <c r="E26" s="2034">
        <f>ROUND(SUM(E21:E25),1)</f>
        <v>0</v>
      </c>
      <c r="F26" s="1433"/>
      <c r="G26" s="2034">
        <f>ROUND(SUM(G21:G25),1)</f>
        <v>0</v>
      </c>
      <c r="H26" s="1433"/>
      <c r="I26" s="2034">
        <f>ROUND(SUM(I21:I25),1)</f>
        <v>0</v>
      </c>
      <c r="J26" s="1433"/>
      <c r="K26" s="2034">
        <f>ROUND(SUM(K21:K25),1)</f>
        <v>0</v>
      </c>
      <c r="L26" s="1433"/>
      <c r="M26" s="2034">
        <f>ROUND(SUM(M21:M25),1)</f>
        <v>0</v>
      </c>
      <c r="N26" s="1433"/>
      <c r="O26" s="1453">
        <f>ROUND(SUM(O21:O25),1)</f>
        <v>0</v>
      </c>
      <c r="P26" s="1433"/>
      <c r="Q26" s="2034">
        <f>ROUND(SUM(Q21:Q25),1)</f>
        <v>0</v>
      </c>
      <c r="R26" s="1433"/>
      <c r="S26" s="2034">
        <f>ROUND(SUM(S21:S25),1)</f>
        <v>0</v>
      </c>
      <c r="T26" s="1433"/>
      <c r="U26" s="2034">
        <f>ROUND(SUM(U21:U25),1)</f>
        <v>0</v>
      </c>
      <c r="V26" s="1433"/>
      <c r="W26" s="2034">
        <f>ROUND(SUM(W21:W25),1)</f>
        <v>0</v>
      </c>
      <c r="X26" s="1433"/>
      <c r="Y26" s="2034">
        <f>ROUND(SUM(Y21:Y25),1)</f>
        <v>0</v>
      </c>
      <c r="Z26" s="1433"/>
      <c r="AA26" s="2756"/>
      <c r="AB26" s="1453">
        <f>ROUND(SUM(AB21:AB25),1)</f>
        <v>7808.7</v>
      </c>
      <c r="AC26" s="3088"/>
      <c r="AD26" s="3380"/>
      <c r="AE26" s="1453">
        <f>ROUND(SUM(AE21:AE25),1)</f>
        <v>3775.6</v>
      </c>
      <c r="AF26" s="3341"/>
      <c r="AG26" s="3341"/>
      <c r="AH26" s="2009">
        <f t="shared" si="1"/>
        <v>4033.1</v>
      </c>
      <c r="AI26" s="2459"/>
      <c r="AJ26" s="2539">
        <f t="shared" si="0"/>
        <v>1.0680000000000001</v>
      </c>
    </row>
    <row r="27" spans="1:36" ht="15.5">
      <c r="A27" s="2758" t="s">
        <v>1008</v>
      </c>
      <c r="B27" s="1433"/>
      <c r="C27" s="1432">
        <f>+'Exhibit F'!D23+'Exhibit G State'!D17</f>
        <v>0</v>
      </c>
      <c r="D27" s="1433"/>
      <c r="E27" s="1432"/>
      <c r="F27" s="1433"/>
      <c r="G27" s="1432"/>
      <c r="H27" s="1433"/>
      <c r="I27" s="1432"/>
      <c r="J27" s="1433"/>
      <c r="K27" s="1432"/>
      <c r="L27" s="1433"/>
      <c r="M27" s="1432"/>
      <c r="N27" s="1433"/>
      <c r="O27" s="1432"/>
      <c r="P27" s="1433"/>
      <c r="Q27" s="1432"/>
      <c r="R27" s="1433"/>
      <c r="S27" s="1432"/>
      <c r="T27" s="1433"/>
      <c r="U27" s="1432"/>
      <c r="V27" s="1433"/>
      <c r="W27" s="1432"/>
      <c r="X27" s="1433"/>
      <c r="Y27" s="1432"/>
      <c r="Z27" s="1433"/>
      <c r="AA27" s="2756"/>
      <c r="AB27" s="3130">
        <f>ROUND(SUM(C27:Y27),1)</f>
        <v>0</v>
      </c>
      <c r="AC27" s="3088"/>
      <c r="AD27" s="3380"/>
      <c r="AE27" s="3130">
        <f>+'Exhibit F'!AF23+'Exhibit G State'!AG17</f>
        <v>0</v>
      </c>
      <c r="AF27" s="3341"/>
      <c r="AG27" s="3341"/>
      <c r="AH27" s="1992">
        <f t="shared" si="1"/>
        <v>0</v>
      </c>
      <c r="AI27" s="2459"/>
      <c r="AJ27" s="1716">
        <f>ROUND(IF(AE27=0,0,AH27/ABS(AE27)),3)</f>
        <v>0</v>
      </c>
    </row>
    <row r="28" spans="1:36" ht="15.5">
      <c r="A28" s="2758" t="s">
        <v>1009</v>
      </c>
      <c r="B28" s="1433"/>
      <c r="C28" s="1432">
        <f>+'Exhibit F'!D24+'Exhibit H'!B16</f>
        <v>0</v>
      </c>
      <c r="D28" s="1433"/>
      <c r="E28" s="1432"/>
      <c r="F28" s="1433"/>
      <c r="G28" s="1432"/>
      <c r="H28" s="1433"/>
      <c r="I28" s="1432"/>
      <c r="J28" s="1433"/>
      <c r="K28" s="1432"/>
      <c r="L28" s="1433"/>
      <c r="M28" s="1432"/>
      <c r="N28" s="1433"/>
      <c r="O28" s="3130"/>
      <c r="P28" s="1433"/>
      <c r="Q28" s="1432"/>
      <c r="R28" s="1433"/>
      <c r="S28" s="1432"/>
      <c r="T28" s="1433"/>
      <c r="U28" s="1432"/>
      <c r="V28" s="1433"/>
      <c r="W28" s="1432"/>
      <c r="X28" s="1433"/>
      <c r="Y28" s="1432"/>
      <c r="Z28" s="1433"/>
      <c r="AA28" s="2756"/>
      <c r="AB28" s="3130">
        <f t="shared" si="2"/>
        <v>0</v>
      </c>
      <c r="AC28" s="3088"/>
      <c r="AD28" s="3380"/>
      <c r="AE28" s="3130">
        <f>+'Exhibit F'!AF24+'Exhibit H'!AD16</f>
        <v>0</v>
      </c>
      <c r="AF28" s="3341"/>
      <c r="AG28" s="3341"/>
      <c r="AH28" s="1992">
        <f t="shared" si="1"/>
        <v>0</v>
      </c>
      <c r="AI28" s="2459"/>
      <c r="AJ28" s="1716">
        <f>ROUND(IF(AE28=0,0,AH28/ABS(AE28)),3)</f>
        <v>0</v>
      </c>
    </row>
    <row r="29" spans="1:36" ht="15.5">
      <c r="A29" s="2225" t="s">
        <v>1271</v>
      </c>
      <c r="B29" s="1432"/>
      <c r="C29" s="1432">
        <f>+'Exhibit F'!D25</f>
        <v>-1282.9000000000001</v>
      </c>
      <c r="D29" s="1432"/>
      <c r="E29" s="1432"/>
      <c r="F29" s="1432"/>
      <c r="G29" s="1432"/>
      <c r="H29" s="1432"/>
      <c r="I29" s="1432"/>
      <c r="J29" s="1432"/>
      <c r="K29" s="1432"/>
      <c r="L29" s="1433"/>
      <c r="M29" s="1432"/>
      <c r="N29" s="1433"/>
      <c r="O29" s="3130"/>
      <c r="P29" s="1433"/>
      <c r="Q29" s="1432"/>
      <c r="R29" s="1433"/>
      <c r="S29" s="1432"/>
      <c r="T29" s="1433"/>
      <c r="U29" s="1432"/>
      <c r="V29" s="1433"/>
      <c r="W29" s="1432"/>
      <c r="X29" s="1433"/>
      <c r="Y29" s="1432"/>
      <c r="Z29" s="1433"/>
      <c r="AA29" s="2756"/>
      <c r="AB29" s="3130">
        <f t="shared" si="2"/>
        <v>-1282.9000000000001</v>
      </c>
      <c r="AC29" s="3088"/>
      <c r="AD29" s="3380"/>
      <c r="AE29" s="3130">
        <f>+'Exhibit F'!AF25</f>
        <v>-1709.4</v>
      </c>
      <c r="AF29" s="3341"/>
      <c r="AG29" s="3341"/>
      <c r="AH29" s="1992">
        <f>-ROUND(SUM(+AB29-AE29),1)</f>
        <v>-426.5</v>
      </c>
      <c r="AI29" s="2459"/>
      <c r="AJ29" s="1810">
        <f>ROUND(SUM(+AH29/ABS(AE29)),3)</f>
        <v>-0.25</v>
      </c>
    </row>
    <row r="30" spans="1:36" ht="15.5">
      <c r="A30" s="2464" t="s">
        <v>1007</v>
      </c>
      <c r="B30" s="1433"/>
      <c r="C30" s="2034">
        <f>ROUND(SUM(C26+C27+C28+C29),1)</f>
        <v>6525.8</v>
      </c>
      <c r="D30" s="1433"/>
      <c r="E30" s="2034">
        <f>ROUND(SUM(E26+E27+E28+E29),1)</f>
        <v>0</v>
      </c>
      <c r="F30" s="1433"/>
      <c r="G30" s="2034">
        <f>ROUND(SUM(G26+G27+G28+G29),1)</f>
        <v>0</v>
      </c>
      <c r="H30" s="1433"/>
      <c r="I30" s="2034">
        <f>ROUND(SUM(I26+I27+I28+I29),1)</f>
        <v>0</v>
      </c>
      <c r="J30" s="1433"/>
      <c r="K30" s="2034">
        <f>ROUND(SUM(K26+K27+K28+K29),1)</f>
        <v>0</v>
      </c>
      <c r="L30" s="1433"/>
      <c r="M30" s="2034">
        <f>ROUND(SUM(M26+M27+M28+M29),1)</f>
        <v>0</v>
      </c>
      <c r="N30" s="1433"/>
      <c r="O30" s="1453">
        <f>ROUND(SUM(O26+O27+O28+O29),1)</f>
        <v>0</v>
      </c>
      <c r="P30" s="1433"/>
      <c r="Q30" s="2034">
        <f>ROUND(SUM(Q26+Q27+Q28+Q29),1)</f>
        <v>0</v>
      </c>
      <c r="R30" s="1433"/>
      <c r="S30" s="2034">
        <f>ROUND(SUM(S26+S27+S28+S29),1)</f>
        <v>0</v>
      </c>
      <c r="T30" s="1433"/>
      <c r="U30" s="2034">
        <f>ROUND(SUM(U26+U27+U28+U29),1)</f>
        <v>0</v>
      </c>
      <c r="V30" s="1433"/>
      <c r="W30" s="2034">
        <f>ROUND(SUM(W26+W27+W28+W29),1)</f>
        <v>0</v>
      </c>
      <c r="X30" s="1433"/>
      <c r="Y30" s="2034">
        <f>ROUND(SUM(Y26+Y27+Y28+Y29),1)</f>
        <v>0</v>
      </c>
      <c r="Z30" s="1433"/>
      <c r="AA30" s="2756"/>
      <c r="AB30" s="1453">
        <f>ROUND(SUM(AB26+AB27+AB28+AB29),1)</f>
        <v>6525.8</v>
      </c>
      <c r="AC30" s="3088"/>
      <c r="AD30" s="3380"/>
      <c r="AE30" s="1453">
        <f>ROUND(SUM(AE26+AE27+AE28+AE29),1)</f>
        <v>2066.1999999999998</v>
      </c>
      <c r="AF30" s="3341"/>
      <c r="AG30" s="3341"/>
      <c r="AH30" s="1453">
        <f>ROUND(SUM(AH26+AH27+AH28-AH29),1)</f>
        <v>4459.6000000000004</v>
      </c>
      <c r="AI30" s="3344"/>
      <c r="AJ30" s="2539">
        <f>ROUND(SUM(+AH30/ABS(AE30)),3)</f>
        <v>2.1579999999999999</v>
      </c>
    </row>
    <row r="31" spans="1:36" ht="15.5">
      <c r="A31" s="2454" t="s">
        <v>1059</v>
      </c>
      <c r="B31" s="1433"/>
      <c r="C31" s="1433"/>
      <c r="D31" s="1433"/>
      <c r="E31" s="1433"/>
      <c r="F31" s="1433"/>
      <c r="G31" s="1433"/>
      <c r="H31" s="1433"/>
      <c r="I31" s="1433"/>
      <c r="J31" s="1433"/>
      <c r="K31" s="1433"/>
      <c r="L31" s="1433"/>
      <c r="M31" s="1433"/>
      <c r="N31" s="1433"/>
      <c r="O31" s="3088"/>
      <c r="P31" s="1433"/>
      <c r="Q31" s="1433"/>
      <c r="R31" s="1433"/>
      <c r="S31" s="1433"/>
      <c r="T31" s="1433"/>
      <c r="U31" s="1433"/>
      <c r="V31" s="1433"/>
      <c r="W31" s="1433"/>
      <c r="X31" s="1433"/>
      <c r="Y31" s="1433"/>
      <c r="Z31" s="1433"/>
      <c r="AA31" s="2756"/>
      <c r="AB31" s="3088"/>
      <c r="AC31" s="3088"/>
      <c r="AD31" s="3380"/>
      <c r="AE31" s="3130"/>
      <c r="AF31" s="3341"/>
      <c r="AG31" s="3341"/>
      <c r="AH31" s="3343"/>
      <c r="AI31" s="3088"/>
      <c r="AJ31" s="3343"/>
    </row>
    <row r="32" spans="1:36" ht="15.5">
      <c r="A32" s="2225" t="s">
        <v>1012</v>
      </c>
      <c r="B32" s="1433"/>
      <c r="C32" s="1432">
        <f>+'Exhibit F'!D28+'Exhibit H'!B19+'Exhibit G State'!D20</f>
        <v>1297.4000000000001</v>
      </c>
      <c r="D32" s="1432"/>
      <c r="E32" s="1432"/>
      <c r="F32" s="1432"/>
      <c r="G32" s="1432"/>
      <c r="H32" s="1432"/>
      <c r="I32" s="1432"/>
      <c r="J32" s="1432"/>
      <c r="K32" s="1432"/>
      <c r="L32" s="1433"/>
      <c r="M32" s="1432"/>
      <c r="N32" s="1433"/>
      <c r="O32" s="3130"/>
      <c r="P32" s="1433"/>
      <c r="Q32" s="1432"/>
      <c r="R32" s="1433"/>
      <c r="S32" s="1432"/>
      <c r="T32" s="1433"/>
      <c r="U32" s="1432"/>
      <c r="V32" s="1433"/>
      <c r="W32" s="1432"/>
      <c r="X32" s="1433"/>
      <c r="Y32" s="1432"/>
      <c r="Z32" s="1433"/>
      <c r="AA32" s="2756"/>
      <c r="AB32" s="3130">
        <f t="shared" ref="AB32:AB38" si="3">ROUND(SUM(C32:Y32),1)</f>
        <v>1297.4000000000001</v>
      </c>
      <c r="AC32" s="3088"/>
      <c r="AD32" s="3380"/>
      <c r="AE32" s="3130">
        <f>+'Exhibit F'!AF28+'Exhibit H'!AD19+'Exhibit G State'!AG20</f>
        <v>869.39999999999986</v>
      </c>
      <c r="AF32" s="3341"/>
      <c r="AG32" s="3341"/>
      <c r="AH32" s="1992">
        <f t="shared" ref="AH32:AH38" si="4">ROUND(SUM(+AB32-AE32),1)</f>
        <v>428</v>
      </c>
      <c r="AI32" s="2459"/>
      <c r="AJ32" s="1810">
        <f>ROUND(SUM(+AH32/ABS(AE32)),3)</f>
        <v>0.49199999999999999</v>
      </c>
    </row>
    <row r="33" spans="1:36" ht="15.5">
      <c r="A33" s="2225" t="s">
        <v>1013</v>
      </c>
      <c r="B33" s="1433"/>
      <c r="C33" s="1432">
        <f>+'Exhibit F'!D29+'Exhibit G State'!D21</f>
        <v>-0.2</v>
      </c>
      <c r="D33" s="1432"/>
      <c r="E33" s="1432"/>
      <c r="F33" s="1432"/>
      <c r="G33" s="1432"/>
      <c r="H33" s="1432"/>
      <c r="I33" s="1432"/>
      <c r="J33" s="1432"/>
      <c r="K33" s="1432"/>
      <c r="L33" s="1433"/>
      <c r="M33" s="1432"/>
      <c r="N33" s="1433"/>
      <c r="O33" s="3130"/>
      <c r="P33" s="1433"/>
      <c r="Q33" s="1432"/>
      <c r="R33" s="1433"/>
      <c r="S33" s="1432"/>
      <c r="T33" s="1433"/>
      <c r="U33" s="1432"/>
      <c r="V33" s="1433"/>
      <c r="W33" s="1432"/>
      <c r="X33" s="1433"/>
      <c r="Y33" s="1432"/>
      <c r="Z33" s="1433"/>
      <c r="AA33" s="2756"/>
      <c r="AB33" s="3130">
        <f t="shared" si="3"/>
        <v>-0.2</v>
      </c>
      <c r="AC33" s="3088"/>
      <c r="AD33" s="3380"/>
      <c r="AE33" s="3130">
        <f>+'Exhibit F'!AF29+'Exhibit G State'!AG21</f>
        <v>-0.1</v>
      </c>
      <c r="AF33" s="3341"/>
      <c r="AG33" s="3341"/>
      <c r="AH33" s="1992">
        <f t="shared" si="4"/>
        <v>-0.1</v>
      </c>
      <c r="AI33" s="2459"/>
      <c r="AJ33" s="1716">
        <f>ROUND(IF(AE33=0,1,AH33/ABS(AE33)),3)</f>
        <v>-1</v>
      </c>
    </row>
    <row r="34" spans="1:36" ht="15.5">
      <c r="A34" s="2225" t="s">
        <v>1014</v>
      </c>
      <c r="B34" s="1433"/>
      <c r="C34" s="1432">
        <f>+'Exhibit F'!D30+'Exhibit G State'!D22</f>
        <v>98.300000000000011</v>
      </c>
      <c r="D34" s="1432"/>
      <c r="E34" s="1432"/>
      <c r="F34" s="1432"/>
      <c r="G34" s="1432"/>
      <c r="H34" s="1432"/>
      <c r="I34" s="1432"/>
      <c r="J34" s="1432"/>
      <c r="K34" s="1432"/>
      <c r="L34" s="1433"/>
      <c r="M34" s="1432"/>
      <c r="N34" s="1433"/>
      <c r="O34" s="3130"/>
      <c r="P34" s="1433"/>
      <c r="Q34" s="1432"/>
      <c r="R34" s="1433"/>
      <c r="S34" s="1432"/>
      <c r="T34" s="1433"/>
      <c r="U34" s="1432"/>
      <c r="V34" s="1433"/>
      <c r="W34" s="1432"/>
      <c r="X34" s="1433"/>
      <c r="Y34" s="1432"/>
      <c r="Z34" s="1433"/>
      <c r="AA34" s="2756"/>
      <c r="AB34" s="3130">
        <f t="shared" si="3"/>
        <v>98.3</v>
      </c>
      <c r="AC34" s="3088"/>
      <c r="AD34" s="3380"/>
      <c r="AE34" s="3130">
        <f>+'Exhibit F'!AF30+'Exhibit G State'!AG22</f>
        <v>98.8</v>
      </c>
      <c r="AF34" s="3341"/>
      <c r="AG34" s="3341"/>
      <c r="AH34" s="1992">
        <f t="shared" si="4"/>
        <v>-0.5</v>
      </c>
      <c r="AI34" s="2459"/>
      <c r="AJ34" s="1810">
        <f>ROUND(SUM(+AH34/ABS(AE34)),3)</f>
        <v>-5.0000000000000001E-3</v>
      </c>
    </row>
    <row r="35" spans="1:36" ht="15.5">
      <c r="A35" s="2225" t="s">
        <v>1156</v>
      </c>
      <c r="B35" s="1433"/>
      <c r="C35" s="1432">
        <f>'Exhibit G State'!D23</f>
        <v>1.5</v>
      </c>
      <c r="D35" s="1432"/>
      <c r="E35" s="1432"/>
      <c r="F35" s="1432"/>
      <c r="G35" s="1432"/>
      <c r="H35" s="1432"/>
      <c r="I35" s="1432"/>
      <c r="J35" s="1432"/>
      <c r="K35" s="1432"/>
      <c r="L35" s="1433"/>
      <c r="M35" s="1432"/>
      <c r="N35" s="1433"/>
      <c r="O35" s="3130"/>
      <c r="P35" s="1433"/>
      <c r="Q35" s="1432"/>
      <c r="R35" s="1433"/>
      <c r="S35" s="1432"/>
      <c r="T35" s="1433"/>
      <c r="U35" s="1432"/>
      <c r="V35" s="1433"/>
      <c r="W35" s="1432"/>
      <c r="X35" s="1433"/>
      <c r="Y35" s="1432"/>
      <c r="Z35" s="1433"/>
      <c r="AA35" s="2756"/>
      <c r="AB35" s="3130">
        <f t="shared" si="3"/>
        <v>1.5</v>
      </c>
      <c r="AC35" s="3088"/>
      <c r="AD35" s="3380"/>
      <c r="AE35" s="3130">
        <f>'Exhibit G State'!AG23</f>
        <v>0.5</v>
      </c>
      <c r="AF35" s="3341"/>
      <c r="AG35" s="3341"/>
      <c r="AH35" s="1992">
        <f>ROUND(SUM(+AB35-AE35),1)</f>
        <v>1</v>
      </c>
      <c r="AI35" s="2459"/>
      <c r="AJ35" s="1716">
        <f>ROUND(IF(AE35=0,1,AH35/ABS(AE35)),3)</f>
        <v>2</v>
      </c>
    </row>
    <row r="36" spans="1:36" ht="15.5">
      <c r="A36" s="2225" t="s">
        <v>1015</v>
      </c>
      <c r="B36" s="1433"/>
      <c r="C36" s="1432">
        <f>+'Exhibit F'!D31+'Exhibit G State'!D24</f>
        <v>7.2</v>
      </c>
      <c r="D36" s="1432"/>
      <c r="E36" s="1432"/>
      <c r="F36" s="1432"/>
      <c r="G36" s="1432"/>
      <c r="H36" s="1432"/>
      <c r="I36" s="1432"/>
      <c r="J36" s="1432"/>
      <c r="K36" s="1432"/>
      <c r="L36" s="1433"/>
      <c r="M36" s="1432"/>
      <c r="N36" s="1433"/>
      <c r="O36" s="3130"/>
      <c r="P36" s="1433"/>
      <c r="Q36" s="1432"/>
      <c r="R36" s="1433"/>
      <c r="S36" s="1432"/>
      <c r="T36" s="1433"/>
      <c r="U36" s="1432"/>
      <c r="V36" s="1433"/>
      <c r="W36" s="1432"/>
      <c r="X36" s="1433"/>
      <c r="Y36" s="1432"/>
      <c r="Z36" s="1433"/>
      <c r="AA36" s="2756"/>
      <c r="AB36" s="3130">
        <f t="shared" si="3"/>
        <v>7.2</v>
      </c>
      <c r="AC36" s="3088"/>
      <c r="AD36" s="3380"/>
      <c r="AE36" s="3130">
        <f>+'Exhibit F'!AF31+'Exhibit G State'!AG24</f>
        <v>6.5</v>
      </c>
      <c r="AF36" s="3341"/>
      <c r="AG36" s="3341"/>
      <c r="AH36" s="1992">
        <f t="shared" si="4"/>
        <v>0.7</v>
      </c>
      <c r="AI36" s="2459"/>
      <c r="AJ36" s="1810">
        <f>ROUND(SUM(+AH36/ABS(AE36)),3)</f>
        <v>0.108</v>
      </c>
    </row>
    <row r="37" spans="1:36" ht="15.5">
      <c r="A37" s="2225" t="s">
        <v>1016</v>
      </c>
      <c r="B37" s="1433"/>
      <c r="C37" s="1432">
        <f>+'Exhibit F'!D32+'Exhibit G State'!D25</f>
        <v>23</v>
      </c>
      <c r="D37" s="1432"/>
      <c r="E37" s="1432"/>
      <c r="F37" s="1432"/>
      <c r="G37" s="1432"/>
      <c r="H37" s="1432"/>
      <c r="I37" s="1432"/>
      <c r="J37" s="1432"/>
      <c r="K37" s="1432"/>
      <c r="L37" s="1433"/>
      <c r="M37" s="1432"/>
      <c r="N37" s="1433"/>
      <c r="O37" s="3130"/>
      <c r="P37" s="1433"/>
      <c r="Q37" s="1432"/>
      <c r="R37" s="1433"/>
      <c r="S37" s="1432"/>
      <c r="T37" s="1433"/>
      <c r="U37" s="1432"/>
      <c r="V37" s="1433"/>
      <c r="W37" s="1432"/>
      <c r="X37" s="1433"/>
      <c r="Y37" s="1432"/>
      <c r="Z37" s="1433"/>
      <c r="AA37" s="2756"/>
      <c r="AB37" s="3130">
        <f t="shared" si="3"/>
        <v>23</v>
      </c>
      <c r="AC37" s="3088"/>
      <c r="AD37" s="3380"/>
      <c r="AE37" s="3130">
        <f>+'Exhibit F'!AF32+'Exhibit G State'!AG25</f>
        <v>26.7</v>
      </c>
      <c r="AF37" s="3341"/>
      <c r="AG37" s="3341"/>
      <c r="AH37" s="1992">
        <f t="shared" si="4"/>
        <v>-3.7</v>
      </c>
      <c r="AI37" s="2459"/>
      <c r="AJ37" s="1810">
        <f>ROUND(SUM(+AH37/ABS(AE37)),3)</f>
        <v>-0.13900000000000001</v>
      </c>
    </row>
    <row r="38" spans="1:36" ht="15.5">
      <c r="A38" s="2225" t="s">
        <v>1017</v>
      </c>
      <c r="B38" s="1433"/>
      <c r="C38" s="1432">
        <f>+'Exhibit F'!D33+'Exhibit G State'!D26</f>
        <v>0.1</v>
      </c>
      <c r="D38" s="1432"/>
      <c r="E38" s="1432"/>
      <c r="F38" s="1432"/>
      <c r="G38" s="1432"/>
      <c r="H38" s="1432"/>
      <c r="I38" s="1432"/>
      <c r="J38" s="1432"/>
      <c r="K38" s="1432"/>
      <c r="L38" s="1433"/>
      <c r="M38" s="1432"/>
      <c r="N38" s="1433"/>
      <c r="O38" s="3130"/>
      <c r="P38" s="1433"/>
      <c r="Q38" s="1432"/>
      <c r="R38" s="1433"/>
      <c r="S38" s="1432"/>
      <c r="T38" s="1433"/>
      <c r="U38" s="1432"/>
      <c r="V38" s="1433"/>
      <c r="W38" s="1432"/>
      <c r="X38" s="1433"/>
      <c r="Y38" s="1432"/>
      <c r="Z38" s="1433"/>
      <c r="AA38" s="2756"/>
      <c r="AB38" s="3130">
        <f t="shared" si="3"/>
        <v>0.1</v>
      </c>
      <c r="AC38" s="3088"/>
      <c r="AD38" s="3380"/>
      <c r="AE38" s="3130">
        <f>+'Exhibit F'!AF33+'Exhibit G State'!AG26</f>
        <v>0</v>
      </c>
      <c r="AF38" s="3341"/>
      <c r="AG38" s="3341"/>
      <c r="AH38" s="1992">
        <f t="shared" si="4"/>
        <v>0.1</v>
      </c>
      <c r="AI38" s="2459"/>
      <c r="AJ38" s="1721">
        <f>ROUND(IF(AE38=0,1,AH38/ABS(AE38)),3)</f>
        <v>1</v>
      </c>
    </row>
    <row r="39" spans="1:36" ht="15.5">
      <c r="A39" s="2225" t="s">
        <v>1353</v>
      </c>
      <c r="B39" s="1433"/>
      <c r="C39" s="1432">
        <f>'Exhibit F'!D34+'Exhibit G'!D27</f>
        <v>0.2</v>
      </c>
      <c r="D39" s="1432"/>
      <c r="E39" s="1432"/>
      <c r="F39" s="1432"/>
      <c r="G39" s="1432"/>
      <c r="H39" s="1432"/>
      <c r="I39" s="1432"/>
      <c r="J39" s="1432"/>
      <c r="K39" s="1432"/>
      <c r="L39" s="1433"/>
      <c r="M39" s="1432"/>
      <c r="N39" s="1433"/>
      <c r="O39" s="3130"/>
      <c r="P39" s="1433"/>
      <c r="Q39" s="1432"/>
      <c r="R39" s="1433"/>
      <c r="S39" s="1432"/>
      <c r="T39" s="1433"/>
      <c r="U39" s="1432"/>
      <c r="V39" s="1433"/>
      <c r="W39" s="1432"/>
      <c r="X39" s="1433"/>
      <c r="Y39" s="1432"/>
      <c r="Z39" s="1433"/>
      <c r="AA39" s="2756"/>
      <c r="AB39" s="3130">
        <f>ROUND(SUM(C39:Y39),1)</f>
        <v>0.2</v>
      </c>
      <c r="AC39" s="3088"/>
      <c r="AD39" s="3380"/>
      <c r="AE39" s="3130">
        <f>+'Exhibit F'!AF34+'Exhibit G State'!AG27</f>
        <v>0</v>
      </c>
      <c r="AF39" s="3341"/>
      <c r="AG39" s="3341"/>
      <c r="AH39" s="1992">
        <f>ROUND(SUM(+AB39-AE39),1)</f>
        <v>0.2</v>
      </c>
      <c r="AI39" s="2459"/>
      <c r="AJ39" s="1721">
        <f>ROUND(IF(AE39=0,1,AH39/ABS(AE39)),3)</f>
        <v>1</v>
      </c>
    </row>
    <row r="40" spans="1:36" ht="15.5">
      <c r="A40" s="2225" t="s">
        <v>1354</v>
      </c>
      <c r="B40" s="1433"/>
      <c r="C40" s="1432">
        <f>'Exhibit F'!D35</f>
        <v>6.7</v>
      </c>
      <c r="D40" s="1432"/>
      <c r="E40" s="1432"/>
      <c r="F40" s="1432"/>
      <c r="G40" s="1432"/>
      <c r="H40" s="1432"/>
      <c r="I40" s="1432"/>
      <c r="J40" s="1432"/>
      <c r="K40" s="1432"/>
      <c r="L40" s="1433"/>
      <c r="M40" s="1432"/>
      <c r="N40" s="1433"/>
      <c r="O40" s="3130"/>
      <c r="P40" s="1433"/>
      <c r="Q40" s="1432"/>
      <c r="R40" s="1433"/>
      <c r="S40" s="1432"/>
      <c r="T40" s="1433"/>
      <c r="U40" s="1432"/>
      <c r="V40" s="1433"/>
      <c r="W40" s="1432"/>
      <c r="X40" s="1433"/>
      <c r="Y40" s="1432"/>
      <c r="Z40" s="1433"/>
      <c r="AA40" s="2756"/>
      <c r="AB40" s="3130">
        <f t="shared" ref="AB40" si="5">ROUND(SUM(C40:Y40),1)</f>
        <v>6.7</v>
      </c>
      <c r="AC40" s="3088"/>
      <c r="AD40" s="3380"/>
      <c r="AE40" s="3130">
        <f>+'Exhibit F'!AF35</f>
        <v>7.2</v>
      </c>
      <c r="AF40" s="3341"/>
      <c r="AG40" s="3341"/>
      <c r="AH40" s="1992">
        <f t="shared" ref="AH40" si="6">ROUND(SUM(+AB40-AE40),1)</f>
        <v>-0.5</v>
      </c>
      <c r="AI40" s="2459"/>
      <c r="AJ40" s="1721">
        <f>ROUND(IF(AE40=0,1,AH40/ABS(AE40)),3)</f>
        <v>-6.9000000000000006E-2</v>
      </c>
    </row>
    <row r="41" spans="1:36" ht="15.5">
      <c r="A41" s="2464" t="s">
        <v>1011</v>
      </c>
      <c r="B41" s="1433"/>
      <c r="C41" s="2034">
        <f>ROUND(SUM(C32:C40),1)</f>
        <v>1434.2</v>
      </c>
      <c r="D41" s="1433"/>
      <c r="E41" s="2034">
        <f>ROUND(SUM(E32:E40),1)</f>
        <v>0</v>
      </c>
      <c r="F41" s="1433"/>
      <c r="G41" s="2034">
        <f>ROUND(SUM(G32:G40),1)</f>
        <v>0</v>
      </c>
      <c r="H41" s="1433"/>
      <c r="I41" s="2034">
        <f>ROUND(SUM(I32:I40),1)</f>
        <v>0</v>
      </c>
      <c r="J41" s="1433"/>
      <c r="K41" s="2034">
        <f>ROUND(SUM(K32:K40),1)</f>
        <v>0</v>
      </c>
      <c r="L41" s="1433"/>
      <c r="M41" s="2034">
        <f>ROUND(SUM(M32:M40),1)</f>
        <v>0</v>
      </c>
      <c r="N41" s="1433"/>
      <c r="O41" s="1453">
        <f>ROUND(SUM(O32:O40),1)</f>
        <v>0</v>
      </c>
      <c r="P41" s="1433"/>
      <c r="Q41" s="2034">
        <f>ROUND(SUM(Q32:Q40),1)</f>
        <v>0</v>
      </c>
      <c r="R41" s="1433"/>
      <c r="S41" s="2034">
        <f>ROUND(SUM(S32:S40),1)</f>
        <v>0</v>
      </c>
      <c r="T41" s="1433"/>
      <c r="U41" s="2034">
        <f>ROUND(SUM(U32:U40),1)</f>
        <v>0</v>
      </c>
      <c r="V41" s="1433"/>
      <c r="W41" s="2034">
        <f>ROUND(SUM(W32:W40),1)</f>
        <v>0</v>
      </c>
      <c r="X41" s="1433"/>
      <c r="Y41" s="2034">
        <f>ROUND(SUM(Y32:Y40),1)</f>
        <v>0</v>
      </c>
      <c r="Z41" s="1433"/>
      <c r="AA41" s="2756"/>
      <c r="AB41" s="1453">
        <f>ROUND(SUM(AB32:AB40),1)</f>
        <v>1434.2</v>
      </c>
      <c r="AC41" s="3088"/>
      <c r="AD41" s="3380"/>
      <c r="AE41" s="1453">
        <f>ROUND(SUM(AE32:AE40),1)</f>
        <v>1009</v>
      </c>
      <c r="AF41" s="3341"/>
      <c r="AG41" s="3341"/>
      <c r="AH41" s="1453">
        <f>ROUND(SUM(AH32:AH40),1)</f>
        <v>425.2</v>
      </c>
      <c r="AI41" s="3344"/>
      <c r="AJ41" s="2539">
        <f>ROUND(SUM(+AH41/ABS(AE41)),3)</f>
        <v>0.42099999999999999</v>
      </c>
    </row>
    <row r="42" spans="1:36" ht="15.5">
      <c r="A42" s="2454" t="s">
        <v>1060</v>
      </c>
      <c r="B42" s="1433"/>
      <c r="C42" s="1433"/>
      <c r="D42" s="1433"/>
      <c r="E42" s="1433"/>
      <c r="F42" s="1433"/>
      <c r="G42" s="1433"/>
      <c r="H42" s="1433"/>
      <c r="I42" s="1433"/>
      <c r="J42" s="1433"/>
      <c r="K42" s="1433"/>
      <c r="L42" s="1433"/>
      <c r="M42" s="1433"/>
      <c r="N42" s="1433"/>
      <c r="O42" s="3088"/>
      <c r="P42" s="1433"/>
      <c r="Q42" s="1433"/>
      <c r="R42" s="1433"/>
      <c r="S42" s="1433"/>
      <c r="T42" s="1433"/>
      <c r="U42" s="1433"/>
      <c r="V42" s="1433"/>
      <c r="W42" s="1433"/>
      <c r="X42" s="1433"/>
      <c r="Y42" s="1433"/>
      <c r="Z42" s="1433"/>
      <c r="AA42" s="2756"/>
      <c r="AB42" s="3088"/>
      <c r="AC42" s="3088"/>
      <c r="AD42" s="3380"/>
      <c r="AE42" s="3130"/>
      <c r="AF42" s="3341"/>
      <c r="AG42" s="3341"/>
      <c r="AH42" s="3343"/>
      <c r="AI42" s="3088"/>
      <c r="AJ42" s="3343"/>
    </row>
    <row r="43" spans="1:36" ht="15.5">
      <c r="A43" s="2225" t="s">
        <v>1019</v>
      </c>
      <c r="B43" s="1433"/>
      <c r="C43" s="1432">
        <f>+'Exhibit F'!D38+'Exhibit G State'!D30</f>
        <v>768.4</v>
      </c>
      <c r="D43" s="1432"/>
      <c r="E43" s="1432"/>
      <c r="F43" s="1432"/>
      <c r="G43" s="1432"/>
      <c r="H43" s="1432"/>
      <c r="I43" s="1432"/>
      <c r="J43" s="1432"/>
      <c r="K43" s="1432"/>
      <c r="L43" s="1432"/>
      <c r="M43" s="1432"/>
      <c r="N43" s="1433"/>
      <c r="O43" s="3130"/>
      <c r="P43" s="1433"/>
      <c r="Q43" s="1432"/>
      <c r="R43" s="1433"/>
      <c r="S43" s="1432"/>
      <c r="T43" s="1433"/>
      <c r="U43" s="1432"/>
      <c r="V43" s="1433"/>
      <c r="W43" s="1432"/>
      <c r="X43" s="1433"/>
      <c r="Y43" s="1432"/>
      <c r="Z43" s="1433"/>
      <c r="AA43" s="2756"/>
      <c r="AB43" s="3130">
        <f>ROUND(SUM(C43:Y43),1)</f>
        <v>768.4</v>
      </c>
      <c r="AC43" s="3088"/>
      <c r="AD43" s="3380"/>
      <c r="AE43" s="3130">
        <f>+'Exhibit F'!AF38+'Exhibit G State'!AG30</f>
        <v>254.4</v>
      </c>
      <c r="AF43" s="3341"/>
      <c r="AG43" s="3341"/>
      <c r="AH43" s="1992">
        <f t="shared" ref="AH43:AH54" si="7">ROUND(SUM(+AB43-AE43),1)</f>
        <v>514</v>
      </c>
      <c r="AI43" s="2459"/>
      <c r="AJ43" s="1810">
        <f t="shared" ref="AJ43:AJ48" si="8">ROUND(SUM(+AH43/ABS(AE43)),3)</f>
        <v>2.02</v>
      </c>
    </row>
    <row r="44" spans="1:36" ht="15.5">
      <c r="A44" s="2225" t="s">
        <v>1020</v>
      </c>
      <c r="B44" s="1433"/>
      <c r="C44" s="1432">
        <f>+'Exhibit G State'!D31+'Exhibit F'!D39</f>
        <v>47.900000000000006</v>
      </c>
      <c r="D44" s="1432"/>
      <c r="E44" s="1432"/>
      <c r="F44" s="1432"/>
      <c r="G44" s="1432"/>
      <c r="H44" s="1432"/>
      <c r="I44" s="1432"/>
      <c r="J44" s="1432"/>
      <c r="K44" s="1432"/>
      <c r="L44" s="1432"/>
      <c r="M44" s="1432"/>
      <c r="N44" s="1433"/>
      <c r="O44" s="3130"/>
      <c r="P44" s="1433"/>
      <c r="Q44" s="1432"/>
      <c r="R44" s="1433"/>
      <c r="S44" s="1432"/>
      <c r="T44" s="1433"/>
      <c r="U44" s="1432"/>
      <c r="V44" s="1433"/>
      <c r="W44" s="1432"/>
      <c r="X44" s="1433"/>
      <c r="Y44" s="1432"/>
      <c r="Z44" s="1433"/>
      <c r="AA44" s="2756"/>
      <c r="AB44" s="3130">
        <f>ROUND(SUM(C44:Y44),1)</f>
        <v>47.9</v>
      </c>
      <c r="AC44" s="3088"/>
      <c r="AD44" s="3380"/>
      <c r="AE44" s="3130">
        <f>+'Exhibit G State'!AG31+'Exhibit F'!AF39</f>
        <v>15.5</v>
      </c>
      <c r="AF44" s="3341"/>
      <c r="AG44" s="3341"/>
      <c r="AH44" s="1992">
        <f t="shared" si="7"/>
        <v>32.4</v>
      </c>
      <c r="AI44" s="2459"/>
      <c r="AJ44" s="1810">
        <f t="shared" si="8"/>
        <v>2.09</v>
      </c>
    </row>
    <row r="45" spans="1:36" ht="15.5">
      <c r="A45" s="2225" t="s">
        <v>1021</v>
      </c>
      <c r="B45" s="1433"/>
      <c r="C45" s="1432">
        <f>+'Exhibit F'!D40+'Exhibit G State'!D32</f>
        <v>64.2</v>
      </c>
      <c r="D45" s="1432"/>
      <c r="E45" s="1432"/>
      <c r="F45" s="1432"/>
      <c r="G45" s="1432"/>
      <c r="H45" s="1432"/>
      <c r="I45" s="1432"/>
      <c r="J45" s="1432"/>
      <c r="K45" s="1432"/>
      <c r="L45" s="1432"/>
      <c r="M45" s="1432"/>
      <c r="N45" s="1433"/>
      <c r="O45" s="3130"/>
      <c r="P45" s="1433"/>
      <c r="Q45" s="1432"/>
      <c r="R45" s="1433"/>
      <c r="S45" s="1432"/>
      <c r="T45" s="1433"/>
      <c r="U45" s="1432"/>
      <c r="V45" s="1433"/>
      <c r="W45" s="1432"/>
      <c r="X45" s="1433"/>
      <c r="Y45" s="1432"/>
      <c r="Z45" s="1433"/>
      <c r="AA45" s="2756"/>
      <c r="AB45" s="3130">
        <f>ROUND(SUM(C45:Y45),1)</f>
        <v>64.2</v>
      </c>
      <c r="AC45" s="3088"/>
      <c r="AD45" s="3380"/>
      <c r="AE45" s="3130">
        <f>+'Exhibit F'!AF40+'Exhibit G State'!AG32</f>
        <v>70.2</v>
      </c>
      <c r="AF45" s="3341"/>
      <c r="AG45" s="3341"/>
      <c r="AH45" s="1992">
        <f t="shared" si="7"/>
        <v>-6</v>
      </c>
      <c r="AI45" s="2459"/>
      <c r="AJ45" s="1810">
        <f t="shared" si="8"/>
        <v>-8.5000000000000006E-2</v>
      </c>
    </row>
    <row r="46" spans="1:36" ht="15.5">
      <c r="A46" s="2225" t="s">
        <v>1022</v>
      </c>
      <c r="B46" s="1433"/>
      <c r="C46" s="1432">
        <f>+'Exhibit F'!D41+'Exhibit G State'!D33</f>
        <v>17.3</v>
      </c>
      <c r="D46" s="1432"/>
      <c r="E46" s="1432"/>
      <c r="F46" s="1432"/>
      <c r="G46" s="1432"/>
      <c r="H46" s="1432"/>
      <c r="I46" s="1432"/>
      <c r="J46" s="1432"/>
      <c r="K46" s="1432"/>
      <c r="L46" s="1432"/>
      <c r="M46" s="1432"/>
      <c r="N46" s="1433"/>
      <c r="O46" s="3130"/>
      <c r="P46" s="1433"/>
      <c r="Q46" s="1432"/>
      <c r="R46" s="1433"/>
      <c r="S46" s="1432"/>
      <c r="T46" s="1433"/>
      <c r="U46" s="1432"/>
      <c r="V46" s="1433"/>
      <c r="W46" s="1432"/>
      <c r="X46" s="1433"/>
      <c r="Y46" s="1432"/>
      <c r="Z46" s="1433"/>
      <c r="AA46" s="2756"/>
      <c r="AB46" s="3130">
        <f>ROUND(SUM(C46:Y46),1)</f>
        <v>17.3</v>
      </c>
      <c r="AC46" s="3088"/>
      <c r="AD46" s="3380"/>
      <c r="AE46" s="3130">
        <f>+'Exhibit F'!AF41+'Exhibit G State'!AG33</f>
        <v>7.3999999999999995</v>
      </c>
      <c r="AF46" s="3341"/>
      <c r="AG46" s="3341"/>
      <c r="AH46" s="1992">
        <f t="shared" si="7"/>
        <v>9.9</v>
      </c>
      <c r="AI46" s="2459"/>
      <c r="AJ46" s="1821">
        <f t="shared" si="8"/>
        <v>1.3380000000000001</v>
      </c>
    </row>
    <row r="47" spans="1:36" ht="15.5">
      <c r="A47" s="2225" t="s">
        <v>1023</v>
      </c>
      <c r="B47" s="1433"/>
      <c r="C47" s="1432">
        <f>+'Exhibit F'!D42+'Exhibit G State'!D34</f>
        <v>30.7</v>
      </c>
      <c r="D47" s="1432"/>
      <c r="E47" s="1432"/>
      <c r="F47" s="1432"/>
      <c r="G47" s="1432"/>
      <c r="H47" s="1432"/>
      <c r="I47" s="1432"/>
      <c r="J47" s="1432"/>
      <c r="K47" s="1432"/>
      <c r="L47" s="1432"/>
      <c r="M47" s="1432"/>
      <c r="N47" s="1433"/>
      <c r="O47" s="3130"/>
      <c r="P47" s="1433"/>
      <c r="Q47" s="1432"/>
      <c r="R47" s="1433"/>
      <c r="S47" s="1432"/>
      <c r="T47" s="1433"/>
      <c r="U47" s="1432"/>
      <c r="V47" s="1433"/>
      <c r="W47" s="1432"/>
      <c r="X47" s="1433"/>
      <c r="Y47" s="1432"/>
      <c r="Z47" s="1433"/>
      <c r="AA47" s="2756"/>
      <c r="AB47" s="3130">
        <f>ROUND(SUM(C47:Y47),1)</f>
        <v>30.7</v>
      </c>
      <c r="AC47" s="3088"/>
      <c r="AD47" s="3380"/>
      <c r="AE47" s="3130">
        <f>+'Exhibit F'!AF42+'Exhibit G State'!AG34</f>
        <v>30.3</v>
      </c>
      <c r="AF47" s="3341"/>
      <c r="AG47" s="3341"/>
      <c r="AH47" s="1992">
        <f t="shared" si="7"/>
        <v>0.4</v>
      </c>
      <c r="AI47" s="2459"/>
      <c r="AJ47" s="1810">
        <f t="shared" si="8"/>
        <v>1.2999999999999999E-2</v>
      </c>
    </row>
    <row r="48" spans="1:36" ht="15.5">
      <c r="A48" s="2464" t="s">
        <v>1018</v>
      </c>
      <c r="B48" s="1433"/>
      <c r="C48" s="2034">
        <f>ROUND(SUM(C43:C47),1)</f>
        <v>928.5</v>
      </c>
      <c r="D48" s="1433"/>
      <c r="E48" s="2034">
        <f>ROUND(SUM(E43:E47),1)</f>
        <v>0</v>
      </c>
      <c r="F48" s="1433"/>
      <c r="G48" s="2034">
        <f>ROUND(SUM(G43:G47),1)</f>
        <v>0</v>
      </c>
      <c r="H48" s="1433"/>
      <c r="I48" s="2034">
        <f>ROUND(SUM(I43:I47),1)</f>
        <v>0</v>
      </c>
      <c r="J48" s="1433"/>
      <c r="K48" s="2034">
        <f>ROUND(SUM(K43:K47),1)</f>
        <v>0</v>
      </c>
      <c r="L48" s="1433"/>
      <c r="M48" s="2034">
        <f>ROUND(SUM(M43:M47),1)</f>
        <v>0</v>
      </c>
      <c r="N48" s="1433"/>
      <c r="O48" s="1453">
        <f>ROUND(SUM(O43:O47),1)</f>
        <v>0</v>
      </c>
      <c r="P48" s="1433"/>
      <c r="Q48" s="2034">
        <f>ROUND(SUM(Q43:Q47),1)</f>
        <v>0</v>
      </c>
      <c r="R48" s="1433"/>
      <c r="S48" s="2034">
        <f>ROUND(SUM(S43:S47),1)</f>
        <v>0</v>
      </c>
      <c r="T48" s="1433"/>
      <c r="U48" s="2034">
        <f>ROUND(SUM(U43:U47),1)</f>
        <v>0</v>
      </c>
      <c r="V48" s="1433"/>
      <c r="W48" s="2034">
        <f>ROUND(SUM(W43:W47),1)</f>
        <v>0</v>
      </c>
      <c r="X48" s="1433"/>
      <c r="Y48" s="2034">
        <f>ROUND(SUM(Y43:Y47),1)</f>
        <v>0</v>
      </c>
      <c r="Z48" s="1433"/>
      <c r="AA48" s="2756"/>
      <c r="AB48" s="1453">
        <f>ROUND(SUM(AB43:AB47),1)</f>
        <v>928.5</v>
      </c>
      <c r="AC48" s="3088"/>
      <c r="AD48" s="3380"/>
      <c r="AE48" s="1453">
        <f>ROUND(SUM(AE43:AE47),1)</f>
        <v>377.8</v>
      </c>
      <c r="AF48" s="3341"/>
      <c r="AG48" s="3341"/>
      <c r="AH48" s="1453">
        <f>ROUND(SUM(AH43:AH47),1)</f>
        <v>550.70000000000005</v>
      </c>
      <c r="AI48" s="3344"/>
      <c r="AJ48" s="2539">
        <f t="shared" si="8"/>
        <v>1.458</v>
      </c>
    </row>
    <row r="49" spans="1:36" ht="15.5">
      <c r="A49" s="2454" t="s">
        <v>1061</v>
      </c>
      <c r="B49" s="1433"/>
      <c r="C49" s="1433"/>
      <c r="D49" s="1433"/>
      <c r="E49" s="1433"/>
      <c r="F49" s="1433"/>
      <c r="G49" s="1433"/>
      <c r="H49" s="1433"/>
      <c r="I49" s="1433"/>
      <c r="J49" s="1433"/>
      <c r="K49" s="1433"/>
      <c r="L49" s="1433"/>
      <c r="M49" s="1433"/>
      <c r="N49" s="1433"/>
      <c r="O49" s="3088"/>
      <c r="P49" s="1433"/>
      <c r="Q49" s="1433"/>
      <c r="R49" s="1433"/>
      <c r="S49" s="1433"/>
      <c r="T49" s="1433"/>
      <c r="U49" s="1433"/>
      <c r="V49" s="1433"/>
      <c r="W49" s="1433"/>
      <c r="X49" s="1433"/>
      <c r="Y49" s="1433"/>
      <c r="Z49" s="1433"/>
      <c r="AA49" s="2756"/>
      <c r="AB49" s="3088"/>
      <c r="AC49" s="3088"/>
      <c r="AD49" s="3380"/>
      <c r="AE49" s="3130"/>
      <c r="AF49" s="3341"/>
      <c r="AG49" s="3341"/>
      <c r="AH49" s="3343"/>
      <c r="AI49" s="3088"/>
      <c r="AJ49" s="3343"/>
    </row>
    <row r="50" spans="1:36" ht="15.5">
      <c r="A50" s="2225" t="s">
        <v>1026</v>
      </c>
      <c r="B50" s="1433"/>
      <c r="C50" s="1432">
        <f>+'Exhibit F'!D45</f>
        <v>0</v>
      </c>
      <c r="D50" s="1432"/>
      <c r="E50" s="1432"/>
      <c r="F50" s="1432"/>
      <c r="G50" s="1432"/>
      <c r="H50" s="1432"/>
      <c r="I50" s="1432"/>
      <c r="J50" s="1432"/>
      <c r="K50" s="1432"/>
      <c r="L50" s="1433"/>
      <c r="M50" s="1432"/>
      <c r="N50" s="1433"/>
      <c r="O50" s="3130"/>
      <c r="P50" s="1433"/>
      <c r="Q50" s="1432"/>
      <c r="R50" s="1433"/>
      <c r="S50" s="1432"/>
      <c r="T50" s="1433"/>
      <c r="U50" s="1432"/>
      <c r="V50" s="1433"/>
      <c r="W50" s="1432"/>
      <c r="X50" s="1433"/>
      <c r="Y50" s="1432"/>
      <c r="Z50" s="1433"/>
      <c r="AA50" s="2756"/>
      <c r="AB50" s="3130">
        <f t="shared" ref="AB50:AB54" si="9">ROUND(SUM(C50:Y50),1)</f>
        <v>0</v>
      </c>
      <c r="AC50" s="3088"/>
      <c r="AD50" s="3380"/>
      <c r="AE50" s="3130">
        <f>+'Exhibit F'!AF45</f>
        <v>0</v>
      </c>
      <c r="AF50" s="3341"/>
      <c r="AG50" s="3341"/>
      <c r="AH50" s="1992">
        <f t="shared" si="7"/>
        <v>0</v>
      </c>
      <c r="AI50" s="3088"/>
      <c r="AJ50" s="1716">
        <f>ROUND(IF(AE50=0,0,AH50/ABS(AE50)),3)</f>
        <v>0</v>
      </c>
    </row>
    <row r="51" spans="1:36" ht="15.5">
      <c r="A51" s="2225" t="s">
        <v>1027</v>
      </c>
      <c r="B51" s="1433"/>
      <c r="C51" s="1432">
        <f>+'Exhibit F'!D46</f>
        <v>119.8</v>
      </c>
      <c r="D51" s="1432"/>
      <c r="E51" s="1432"/>
      <c r="F51" s="1432"/>
      <c r="G51" s="1432"/>
      <c r="H51" s="1432"/>
      <c r="I51" s="1432"/>
      <c r="J51" s="1432"/>
      <c r="K51" s="1432"/>
      <c r="L51" s="1433"/>
      <c r="M51" s="1432"/>
      <c r="N51" s="1433"/>
      <c r="O51" s="3130"/>
      <c r="P51" s="1433"/>
      <c r="Q51" s="1432"/>
      <c r="R51" s="1433"/>
      <c r="S51" s="1432"/>
      <c r="T51" s="1433"/>
      <c r="U51" s="1432"/>
      <c r="V51" s="1433"/>
      <c r="W51" s="1432"/>
      <c r="X51" s="1433"/>
      <c r="Y51" s="1432"/>
      <c r="Z51" s="1433"/>
      <c r="AA51" s="2756"/>
      <c r="AB51" s="3130">
        <f t="shared" si="9"/>
        <v>119.8</v>
      </c>
      <c r="AC51" s="3088"/>
      <c r="AD51" s="3380"/>
      <c r="AE51" s="3130">
        <f>+'Exhibit F'!AF46</f>
        <v>72.7</v>
      </c>
      <c r="AF51" s="3341"/>
      <c r="AG51" s="3341"/>
      <c r="AH51" s="1992">
        <f t="shared" si="7"/>
        <v>47.1</v>
      </c>
      <c r="AI51" s="3088"/>
      <c r="AJ51" s="1810">
        <f t="shared" ref="AJ51:AJ56" si="10">ROUND(SUM(+AH51/ABS(AE51)),3)</f>
        <v>0.64800000000000002</v>
      </c>
    </row>
    <row r="52" spans="1:36" ht="15.5">
      <c r="A52" s="2225" t="s">
        <v>1028</v>
      </c>
      <c r="B52" s="1433"/>
      <c r="C52" s="1432">
        <f>+'Exhibit F'!D47</f>
        <v>1.3</v>
      </c>
      <c r="D52" s="1432"/>
      <c r="E52" s="1432"/>
      <c r="F52" s="1432"/>
      <c r="G52" s="1432"/>
      <c r="H52" s="1432"/>
      <c r="I52" s="1432"/>
      <c r="J52" s="1432"/>
      <c r="K52" s="1432"/>
      <c r="L52" s="1433"/>
      <c r="M52" s="1432"/>
      <c r="N52" s="1433"/>
      <c r="O52" s="3130"/>
      <c r="P52" s="1433"/>
      <c r="Q52" s="1432"/>
      <c r="R52" s="1433"/>
      <c r="S52" s="1432"/>
      <c r="T52" s="1433"/>
      <c r="U52" s="1432"/>
      <c r="V52" s="1433"/>
      <c r="W52" s="1432"/>
      <c r="X52" s="1433"/>
      <c r="Y52" s="1432"/>
      <c r="Z52" s="1433"/>
      <c r="AA52" s="2756"/>
      <c r="AB52" s="3130">
        <f t="shared" si="9"/>
        <v>1.3</v>
      </c>
      <c r="AC52" s="3088"/>
      <c r="AD52" s="3380"/>
      <c r="AE52" s="3130">
        <f>+'Exhibit F'!AF47</f>
        <v>0.7</v>
      </c>
      <c r="AF52" s="3341"/>
      <c r="AG52" s="3341"/>
      <c r="AH52" s="1992">
        <f t="shared" si="7"/>
        <v>0.6</v>
      </c>
      <c r="AI52" s="3088"/>
      <c r="AJ52" s="1810">
        <f t="shared" si="10"/>
        <v>0.85699999999999998</v>
      </c>
    </row>
    <row r="53" spans="1:36" ht="15.5">
      <c r="A53" s="2225" t="s">
        <v>1029</v>
      </c>
      <c r="B53" s="1433"/>
      <c r="C53" s="1432">
        <f>+'Exhibit F'!D48+'Exhibit H'!B22</f>
        <v>97.4</v>
      </c>
      <c r="D53" s="1432"/>
      <c r="E53" s="1432"/>
      <c r="F53" s="1432"/>
      <c r="G53" s="1432"/>
      <c r="H53" s="1432"/>
      <c r="I53" s="3130"/>
      <c r="J53" s="1432"/>
      <c r="K53" s="1432"/>
      <c r="L53" s="1433"/>
      <c r="M53" s="1432"/>
      <c r="N53" s="1433"/>
      <c r="O53" s="3130"/>
      <c r="P53" s="1433"/>
      <c r="Q53" s="1432"/>
      <c r="R53" s="1433"/>
      <c r="S53" s="1432"/>
      <c r="T53" s="1433"/>
      <c r="U53" s="1432"/>
      <c r="V53" s="1433"/>
      <c r="W53" s="1432"/>
      <c r="X53" s="1433"/>
      <c r="Y53" s="1432"/>
      <c r="Z53" s="1433"/>
      <c r="AA53" s="2756"/>
      <c r="AB53" s="3130">
        <f t="shared" si="9"/>
        <v>97.4</v>
      </c>
      <c r="AC53" s="3088"/>
      <c r="AD53" s="3380"/>
      <c r="AE53" s="3130">
        <f>+'Exhibit F'!AF48+'Exhibit I State'!AG28+'Exhibit H'!AD22</f>
        <v>57.2</v>
      </c>
      <c r="AF53" s="3341"/>
      <c r="AG53" s="3341"/>
      <c r="AH53" s="1992">
        <f t="shared" si="7"/>
        <v>40.200000000000003</v>
      </c>
      <c r="AI53" s="3088"/>
      <c r="AJ53" s="1810">
        <f t="shared" si="10"/>
        <v>0.70299999999999996</v>
      </c>
    </row>
    <row r="54" spans="1:36" ht="15.5">
      <c r="A54" s="2225" t="s">
        <v>1030</v>
      </c>
      <c r="B54" s="1433"/>
      <c r="C54" s="1432">
        <f>+'Exhibit F'!D49</f>
        <v>0</v>
      </c>
      <c r="D54" s="1432"/>
      <c r="E54" s="1432"/>
      <c r="F54" s="1432"/>
      <c r="G54" s="1432"/>
      <c r="H54" s="1432"/>
      <c r="I54" s="1432"/>
      <c r="J54" s="1432"/>
      <c r="K54" s="1432"/>
      <c r="L54" s="1433"/>
      <c r="M54" s="1432"/>
      <c r="N54" s="1433"/>
      <c r="O54" s="3130"/>
      <c r="P54" s="1433"/>
      <c r="Q54" s="1432"/>
      <c r="R54" s="1433"/>
      <c r="S54" s="1432"/>
      <c r="T54" s="1433"/>
      <c r="U54" s="1432"/>
      <c r="V54" s="1433"/>
      <c r="W54" s="1432"/>
      <c r="X54" s="1433"/>
      <c r="Y54" s="1432"/>
      <c r="Z54" s="1433"/>
      <c r="AA54" s="2756"/>
      <c r="AB54" s="3130">
        <f t="shared" si="9"/>
        <v>0</v>
      </c>
      <c r="AC54" s="3088"/>
      <c r="AD54" s="3380"/>
      <c r="AE54" s="3130">
        <f>+'Exhibit F'!AF49</f>
        <v>0.1</v>
      </c>
      <c r="AF54" s="3341"/>
      <c r="AG54" s="3341"/>
      <c r="AH54" s="1992">
        <f t="shared" si="7"/>
        <v>-0.1</v>
      </c>
      <c r="AI54" s="3088"/>
      <c r="AJ54" s="1810">
        <f>ROUND(IF(AE54=0,0,AH54/ABS(AE54)),3)</f>
        <v>-1</v>
      </c>
    </row>
    <row r="55" spans="1:36" ht="15.5">
      <c r="A55" s="2758" t="s">
        <v>1287</v>
      </c>
      <c r="B55" s="1433"/>
      <c r="C55" s="1432">
        <f>+'Exhibit F'!D50+'Exhibit H'!B23</f>
        <v>0.2</v>
      </c>
      <c r="D55" s="1432"/>
      <c r="E55" s="1432"/>
      <c r="F55" s="1432"/>
      <c r="G55" s="1432"/>
      <c r="H55" s="1432"/>
      <c r="I55" s="1432"/>
      <c r="J55" s="1432"/>
      <c r="K55" s="1432"/>
      <c r="L55" s="1432"/>
      <c r="M55" s="1432"/>
      <c r="N55" s="1432"/>
      <c r="O55" s="3130"/>
      <c r="P55" s="1433"/>
      <c r="Q55" s="1432"/>
      <c r="R55" s="1433"/>
      <c r="S55" s="1432"/>
      <c r="T55" s="1433"/>
      <c r="U55" s="1432"/>
      <c r="V55" s="1433"/>
      <c r="W55" s="1432"/>
      <c r="X55" s="1433"/>
      <c r="Y55" s="1432"/>
      <c r="Z55" s="1433"/>
      <c r="AA55" s="2756"/>
      <c r="AB55" s="3130">
        <f t="shared" ref="AB55" si="11">ROUND(SUM(C55:Y55),1)</f>
        <v>0.2</v>
      </c>
      <c r="AC55" s="3088"/>
      <c r="AD55" s="3380"/>
      <c r="AE55" s="3132">
        <f>+'Exhibit F'!AF50+'Exhibit H'!AD23</f>
        <v>0.2</v>
      </c>
      <c r="AF55" s="3341"/>
      <c r="AG55" s="3341"/>
      <c r="AH55" s="1992">
        <f t="shared" ref="AH55" si="12">ROUND(SUM(+AB55-AE55),1)</f>
        <v>0</v>
      </c>
      <c r="AI55" s="2459"/>
      <c r="AJ55" s="1716">
        <f>ROUND(IF(AE55=0,1,AH55/ABS(AE55)),3)</f>
        <v>0</v>
      </c>
    </row>
    <row r="56" spans="1:36" ht="15.5">
      <c r="A56" s="2464" t="s">
        <v>1024</v>
      </c>
      <c r="B56" s="1433"/>
      <c r="C56" s="1453">
        <f>ROUND(SUM(C50:C55),1)</f>
        <v>218.7</v>
      </c>
      <c r="D56" s="1433"/>
      <c r="E56" s="1453">
        <f>ROUND(SUM(E50:E55),1)</f>
        <v>0</v>
      </c>
      <c r="F56" s="1433"/>
      <c r="G56" s="1453">
        <f>ROUND(SUM(G50:G55),1)</f>
        <v>0</v>
      </c>
      <c r="H56" s="1433"/>
      <c r="I56" s="1453">
        <f>ROUND(SUM(I50:I55),1)</f>
        <v>0</v>
      </c>
      <c r="J56" s="1433"/>
      <c r="K56" s="1453">
        <f>ROUND(SUM(K50:K55),1)</f>
        <v>0</v>
      </c>
      <c r="L56" s="1433"/>
      <c r="M56" s="1453">
        <f>ROUND(SUM(M50:M55),1)</f>
        <v>0</v>
      </c>
      <c r="N56" s="1433"/>
      <c r="O56" s="1453">
        <f>ROUND(SUM(O50:O55),1)</f>
        <v>0</v>
      </c>
      <c r="P56" s="1433"/>
      <c r="Q56" s="1453">
        <f>ROUND(SUM(Q50:Q55),1)</f>
        <v>0</v>
      </c>
      <c r="R56" s="1433"/>
      <c r="S56" s="1453">
        <f>ROUND(SUM(S50:S55),1)</f>
        <v>0</v>
      </c>
      <c r="T56" s="1433"/>
      <c r="U56" s="1453">
        <f>ROUND(SUM(U50:U55),1)</f>
        <v>0</v>
      </c>
      <c r="V56" s="1433"/>
      <c r="W56" s="1453">
        <f>ROUND(SUM(W50:W55),1)</f>
        <v>0</v>
      </c>
      <c r="X56" s="1433"/>
      <c r="Y56" s="1453">
        <f>ROUND(SUM(Y50:Y55),1)</f>
        <v>0</v>
      </c>
      <c r="Z56" s="1433"/>
      <c r="AA56" s="2756"/>
      <c r="AB56" s="1453">
        <f>ROUND(SUM(AB50:AB55),1)</f>
        <v>218.7</v>
      </c>
      <c r="AC56" s="3088"/>
      <c r="AD56" s="3380"/>
      <c r="AE56" s="1453">
        <f>ROUND(SUM(AE50:AE55),1)</f>
        <v>130.9</v>
      </c>
      <c r="AF56" s="3341"/>
      <c r="AG56" s="3341"/>
      <c r="AH56" s="1453">
        <f>ROUND(SUM(AH50:AH55),1)</f>
        <v>87.8</v>
      </c>
      <c r="AI56" s="3344"/>
      <c r="AJ56" s="1812">
        <f t="shared" si="10"/>
        <v>0.67100000000000004</v>
      </c>
    </row>
    <row r="57" spans="1:36" ht="15.5">
      <c r="A57" s="1433"/>
      <c r="B57" s="1433"/>
      <c r="C57" s="2759"/>
      <c r="D57" s="1432"/>
      <c r="E57" s="2759"/>
      <c r="F57" s="2759"/>
      <c r="G57" s="2759"/>
      <c r="H57" s="2759"/>
      <c r="I57" s="2759"/>
      <c r="J57" s="2759"/>
      <c r="K57" s="2759"/>
      <c r="L57" s="2759"/>
      <c r="M57" s="2759"/>
      <c r="N57" s="2759"/>
      <c r="O57" s="3132"/>
      <c r="P57" s="2759"/>
      <c r="Q57" s="2759"/>
      <c r="R57" s="2759"/>
      <c r="S57" s="2759"/>
      <c r="T57" s="2759"/>
      <c r="U57" s="2759"/>
      <c r="V57" s="2759"/>
      <c r="W57" s="2759"/>
      <c r="X57" s="2759"/>
      <c r="Y57" s="2759"/>
      <c r="Z57" s="1432"/>
      <c r="AA57" s="2760"/>
      <c r="AB57" s="3131"/>
      <c r="AC57" s="3130"/>
      <c r="AD57" s="3381"/>
      <c r="AE57" s="3132"/>
      <c r="AF57" s="3132"/>
      <c r="AG57" s="3132"/>
      <c r="AH57" s="3132"/>
      <c r="AI57" s="3088"/>
      <c r="AJ57" s="1813"/>
    </row>
    <row r="58" spans="1:36" ht="15.5">
      <c r="A58" s="2464" t="s">
        <v>998</v>
      </c>
      <c r="B58" s="2014"/>
      <c r="C58" s="19">
        <f>ROUND(SUM(C56+C48+C41+C30),1)</f>
        <v>9107.2000000000007</v>
      </c>
      <c r="D58" s="1998"/>
      <c r="E58" s="19">
        <f>ROUND(SUM(E56+E48+E41+E30),1)</f>
        <v>0</v>
      </c>
      <c r="F58" s="1998"/>
      <c r="G58" s="19">
        <f>ROUND(SUM(G56+G48+G41+G30),1)</f>
        <v>0</v>
      </c>
      <c r="H58" s="1998"/>
      <c r="I58" s="19">
        <f>ROUND(SUM(I56+I48+I41+I30),1)</f>
        <v>0</v>
      </c>
      <c r="J58" s="1998"/>
      <c r="K58" s="19">
        <f>ROUND(SUM(K56+K48+K41+K30),1)</f>
        <v>0</v>
      </c>
      <c r="L58" s="1998"/>
      <c r="M58" s="19">
        <f>ROUND(SUM(M56+M48+M41+M30),1)</f>
        <v>0</v>
      </c>
      <c r="N58" s="1998"/>
      <c r="O58" s="1644">
        <f>ROUND(SUM(O56+O48+O41+O30),1)</f>
        <v>0</v>
      </c>
      <c r="P58" s="1998"/>
      <c r="Q58" s="19">
        <f>ROUND(SUM(Q56+Q48+Q41+Q30),1)</f>
        <v>0</v>
      </c>
      <c r="R58" s="1998"/>
      <c r="S58" s="19">
        <f>ROUND(SUM(S56+S48+S41+S30),1)</f>
        <v>0</v>
      </c>
      <c r="T58" s="1998"/>
      <c r="U58" s="19">
        <f>ROUND(SUM(U56+U48+U41+U30),1)</f>
        <v>0</v>
      </c>
      <c r="V58" s="1998"/>
      <c r="W58" s="19">
        <f>ROUND(SUM(W56+W48+W41+W30),1)</f>
        <v>0</v>
      </c>
      <c r="X58" s="1456"/>
      <c r="Y58" s="19">
        <f>ROUND(SUM(Y56+Y48+Y41+Y30),1)</f>
        <v>0</v>
      </c>
      <c r="Z58" s="1456"/>
      <c r="AA58" s="2035"/>
      <c r="AB58" s="3382">
        <f>ROUND(SUM(C58:Y58),1)</f>
        <v>9107.2000000000007</v>
      </c>
      <c r="AC58" s="1987"/>
      <c r="AD58" s="2031"/>
      <c r="AE58" s="1975">
        <f>ROUND(SUM(+AE30+AE41+AE48+AE56),1)</f>
        <v>3583.9</v>
      </c>
      <c r="AF58" s="1969"/>
      <c r="AG58" s="3144"/>
      <c r="AH58" s="1975">
        <f>ROUND(+AB58-AE58,1)</f>
        <v>5523.3</v>
      </c>
      <c r="AI58" s="2033"/>
      <c r="AJ58" s="3345">
        <f>ROUND(SUM(+AH58/ABS(AE58)),3)</f>
        <v>1.5409999999999999</v>
      </c>
    </row>
    <row r="59" spans="1:36" ht="15.5">
      <c r="A59" s="1433"/>
      <c r="B59" s="1433"/>
      <c r="C59" s="1432"/>
      <c r="D59" s="1432"/>
      <c r="E59" s="1432"/>
      <c r="F59" s="1432"/>
      <c r="G59" s="1432"/>
      <c r="H59" s="1432"/>
      <c r="I59" s="1432"/>
      <c r="J59" s="1432"/>
      <c r="K59" s="1432"/>
      <c r="L59" s="1432"/>
      <c r="M59" s="1432"/>
      <c r="N59" s="1432"/>
      <c r="O59" s="3130"/>
      <c r="P59" s="1432"/>
      <c r="Q59" s="1432"/>
      <c r="R59" s="1432"/>
      <c r="S59" s="1432"/>
      <c r="T59" s="1432"/>
      <c r="U59" s="1432"/>
      <c r="V59" s="1432"/>
      <c r="W59" s="1432"/>
      <c r="X59" s="1432"/>
      <c r="Y59" s="1432"/>
      <c r="Z59" s="1432"/>
      <c r="AA59" s="2760"/>
      <c r="AB59" s="3130"/>
      <c r="AC59" s="3130"/>
      <c r="AD59" s="3381"/>
      <c r="AE59" s="3130"/>
      <c r="AF59" s="3132"/>
      <c r="AG59" s="3132"/>
      <c r="AH59" s="3130"/>
      <c r="AI59" s="3088"/>
      <c r="AJ59" s="1810"/>
    </row>
    <row r="60" spans="1:36" ht="15.5">
      <c r="A60" s="2453" t="s">
        <v>933</v>
      </c>
      <c r="B60" s="1433"/>
      <c r="C60" s="1432"/>
      <c r="D60" s="1432"/>
      <c r="E60" s="1432"/>
      <c r="F60" s="1432"/>
      <c r="G60" s="1432"/>
      <c r="H60" s="1432"/>
      <c r="I60" s="1432"/>
      <c r="J60" s="1432"/>
      <c r="K60" s="1432"/>
      <c r="L60" s="1432"/>
      <c r="M60" s="1432"/>
      <c r="N60" s="1432"/>
      <c r="O60" s="3130"/>
      <c r="P60" s="1432"/>
      <c r="Q60" s="1432"/>
      <c r="R60" s="1432"/>
      <c r="S60" s="1432"/>
      <c r="T60" s="1432"/>
      <c r="U60" s="1432"/>
      <c r="V60" s="1432"/>
      <c r="W60" s="1432"/>
      <c r="X60" s="1432"/>
      <c r="Y60" s="1432"/>
      <c r="Z60" s="1432"/>
      <c r="AA60" s="2761"/>
      <c r="AB60" s="3130"/>
      <c r="AC60" s="3130"/>
      <c r="AD60" s="3381"/>
      <c r="AE60" s="3130"/>
      <c r="AF60" s="3132"/>
      <c r="AG60" s="3132"/>
      <c r="AH60" s="3130"/>
      <c r="AI60" s="3088"/>
      <c r="AJ60" s="1716"/>
    </row>
    <row r="61" spans="1:36" ht="15.5">
      <c r="A61" s="2476" t="s">
        <v>1052</v>
      </c>
      <c r="B61" s="1433"/>
      <c r="C61" s="1432"/>
      <c r="D61" s="1432"/>
      <c r="E61" s="1432"/>
      <c r="F61" s="1432"/>
      <c r="G61" s="1432"/>
      <c r="H61" s="1432"/>
      <c r="I61" s="1432"/>
      <c r="J61" s="1432"/>
      <c r="K61" s="1432"/>
      <c r="L61" s="1432"/>
      <c r="M61" s="1432"/>
      <c r="N61" s="1432"/>
      <c r="O61" s="3130"/>
      <c r="P61" s="1432"/>
      <c r="Q61" s="1432"/>
      <c r="R61" s="1432"/>
      <c r="S61" s="1432"/>
      <c r="T61" s="1432"/>
      <c r="U61" s="1432"/>
      <c r="V61" s="1432"/>
      <c r="W61" s="1432"/>
      <c r="X61" s="1432"/>
      <c r="Y61" s="1432"/>
      <c r="Z61" s="1432"/>
      <c r="AA61" s="2761"/>
      <c r="AB61" s="3130"/>
      <c r="AC61" s="3130"/>
      <c r="AD61" s="3381"/>
      <c r="AE61" s="3130"/>
      <c r="AF61" s="3132"/>
      <c r="AG61" s="3132"/>
      <c r="AH61" s="3130"/>
      <c r="AI61" s="3088"/>
      <c r="AJ61" s="1716"/>
    </row>
    <row r="62" spans="1:36" ht="15.5">
      <c r="A62" s="2476" t="s">
        <v>931</v>
      </c>
      <c r="B62" s="1433"/>
      <c r="C62" s="1432">
        <f>+'Exhibit F'!D57+'Exhibit G State'!D41</f>
        <v>1.3</v>
      </c>
      <c r="D62" s="1432"/>
      <c r="E62" s="1432"/>
      <c r="F62" s="1432"/>
      <c r="G62" s="1432"/>
      <c r="H62" s="1432"/>
      <c r="I62" s="1432"/>
      <c r="J62" s="1432"/>
      <c r="K62" s="1432"/>
      <c r="L62" s="1432"/>
      <c r="M62" s="1432"/>
      <c r="N62" s="1432"/>
      <c r="O62" s="3130"/>
      <c r="P62" s="1432"/>
      <c r="Q62" s="1432"/>
      <c r="R62" s="1432"/>
      <c r="S62" s="1432"/>
      <c r="T62" s="1432"/>
      <c r="U62" s="1432"/>
      <c r="V62" s="1432"/>
      <c r="W62" s="1432"/>
      <c r="X62" s="1432"/>
      <c r="Y62" s="1432"/>
      <c r="Z62" s="1432"/>
      <c r="AA62" s="2761"/>
      <c r="AB62" s="3130">
        <f>ROUND(SUM(C62:Y62),1)</f>
        <v>1.3</v>
      </c>
      <c r="AC62" s="3130"/>
      <c r="AD62" s="3381"/>
      <c r="AE62" s="3130">
        <f>+'Exhibit F'!AF57+'Exhibit G State'!AG41</f>
        <v>1.6</v>
      </c>
      <c r="AF62" s="3132"/>
      <c r="AG62" s="3132"/>
      <c r="AH62" s="3130">
        <f t="shared" ref="AH62:AH102" si="13">ROUND(SUM(AB62-AE62),1)</f>
        <v>-0.3</v>
      </c>
      <c r="AI62" s="3088"/>
      <c r="AJ62" s="1810">
        <f>ROUND(SUM(AH62/ABS(AE62)),3)</f>
        <v>-0.188</v>
      </c>
    </row>
    <row r="63" spans="1:36" ht="15.5">
      <c r="A63" s="2476" t="s">
        <v>932</v>
      </c>
      <c r="B63" s="1433"/>
      <c r="C63" s="1432">
        <f>+'Exhibit F'!D58</f>
        <v>1</v>
      </c>
      <c r="D63" s="1432"/>
      <c r="E63" s="1432"/>
      <c r="F63" s="1432"/>
      <c r="G63" s="1432"/>
      <c r="H63" s="1432"/>
      <c r="I63" s="1432"/>
      <c r="J63" s="1432"/>
      <c r="K63" s="1432"/>
      <c r="L63" s="1432"/>
      <c r="M63" s="1432"/>
      <c r="N63" s="1432"/>
      <c r="O63" s="3130"/>
      <c r="P63" s="1432"/>
      <c r="Q63" s="1432"/>
      <c r="R63" s="1432"/>
      <c r="S63" s="1432"/>
      <c r="T63" s="1432"/>
      <c r="U63" s="1432"/>
      <c r="V63" s="1432"/>
      <c r="W63" s="1432"/>
      <c r="X63" s="1432"/>
      <c r="Y63" s="1432"/>
      <c r="Z63" s="1432"/>
      <c r="AA63" s="2761"/>
      <c r="AB63" s="3130">
        <f>ROUND(SUM(C63:Y63),1)</f>
        <v>1</v>
      </c>
      <c r="AC63" s="3130"/>
      <c r="AD63" s="3381"/>
      <c r="AE63" s="3130">
        <f>+'Exhibit F'!AF58</f>
        <v>0.7</v>
      </c>
      <c r="AF63" s="3132"/>
      <c r="AG63" s="3132"/>
      <c r="AH63" s="3130">
        <f t="shared" si="13"/>
        <v>0.3</v>
      </c>
      <c r="AI63" s="3088"/>
      <c r="AJ63" s="1810">
        <f>ROUND(SUM(AH63/ABS(AE63)),3)</f>
        <v>0.42899999999999999</v>
      </c>
    </row>
    <row r="64" spans="1:36" ht="15.5">
      <c r="A64" s="2476" t="s">
        <v>1053</v>
      </c>
      <c r="B64" s="1433"/>
      <c r="C64" s="1432"/>
      <c r="D64" s="1432"/>
      <c r="E64" s="1432"/>
      <c r="F64" s="1432"/>
      <c r="G64" s="1432"/>
      <c r="H64" s="1432"/>
      <c r="I64" s="1432"/>
      <c r="J64" s="1432"/>
      <c r="K64" s="1432"/>
      <c r="L64" s="1432"/>
      <c r="M64" s="1432"/>
      <c r="N64" s="1432"/>
      <c r="O64" s="3130"/>
      <c r="P64" s="1432"/>
      <c r="Q64" s="1432"/>
      <c r="R64" s="1432"/>
      <c r="S64" s="1432"/>
      <c r="T64" s="1432"/>
      <c r="U64" s="1432"/>
      <c r="V64" s="1432"/>
      <c r="W64" s="1432"/>
      <c r="X64" s="1432"/>
      <c r="Y64" s="1432"/>
      <c r="Z64" s="1432"/>
      <c r="AA64" s="2761"/>
      <c r="AB64" s="3130"/>
      <c r="AC64" s="3130"/>
      <c r="AD64" s="3381"/>
      <c r="AE64" s="3130"/>
      <c r="AF64" s="3132"/>
      <c r="AG64" s="3132"/>
      <c r="AH64" s="3130" t="s">
        <v>14</v>
      </c>
      <c r="AI64" s="3088" t="s">
        <v>14</v>
      </c>
      <c r="AJ64" s="1716" t="s">
        <v>14</v>
      </c>
    </row>
    <row r="65" spans="1:36" ht="15.5">
      <c r="A65" s="2476" t="s">
        <v>936</v>
      </c>
      <c r="B65" s="1433"/>
      <c r="C65" s="1432">
        <f>+'Exhibit F'!D60+'Exhibit G State'!D43</f>
        <v>63.7</v>
      </c>
      <c r="D65" s="1432"/>
      <c r="E65" s="1432"/>
      <c r="F65" s="1432"/>
      <c r="G65" s="1432"/>
      <c r="H65" s="1432"/>
      <c r="I65" s="1432"/>
      <c r="J65" s="1432"/>
      <c r="K65" s="1432"/>
      <c r="L65" s="1432"/>
      <c r="M65" s="1432"/>
      <c r="N65" s="1432"/>
      <c r="O65" s="3130"/>
      <c r="P65" s="1432"/>
      <c r="Q65" s="1432"/>
      <c r="R65" s="1432"/>
      <c r="S65" s="1432"/>
      <c r="T65" s="1432"/>
      <c r="U65" s="1432"/>
      <c r="V65" s="1432"/>
      <c r="W65" s="1432"/>
      <c r="X65" s="1432"/>
      <c r="Y65" s="1432"/>
      <c r="Z65" s="1432"/>
      <c r="AA65" s="2761"/>
      <c r="AB65" s="3130">
        <f>ROUND(SUM(C65:Y65),1)</f>
        <v>63.7</v>
      </c>
      <c r="AC65" s="3130"/>
      <c r="AD65" s="3381"/>
      <c r="AE65" s="3130">
        <f>+'Exhibit F'!AF60+'Exhibit G State'!AG43</f>
        <v>42.7</v>
      </c>
      <c r="AF65" s="3132"/>
      <c r="AG65" s="3132"/>
      <c r="AH65" s="3130">
        <f t="shared" si="13"/>
        <v>21</v>
      </c>
      <c r="AI65" s="3088"/>
      <c r="AJ65" s="1810">
        <f>ROUND(SUM(AH65/ABS(AE65)),3)</f>
        <v>0.49199999999999999</v>
      </c>
    </row>
    <row r="66" spans="1:36" ht="15.5">
      <c r="A66" s="2476" t="s">
        <v>937</v>
      </c>
      <c r="B66" s="1433"/>
      <c r="C66" s="1432">
        <f>+'Exhibit F'!D61+'Exhibit G State'!D44</f>
        <v>484.5</v>
      </c>
      <c r="D66" s="1432"/>
      <c r="E66" s="1432"/>
      <c r="F66" s="1432"/>
      <c r="G66" s="1432"/>
      <c r="H66" s="1432"/>
      <c r="I66" s="1432"/>
      <c r="J66" s="1432"/>
      <c r="K66" s="1432"/>
      <c r="L66" s="1432"/>
      <c r="M66" s="1432"/>
      <c r="N66" s="1432"/>
      <c r="O66" s="3130"/>
      <c r="P66" s="1432"/>
      <c r="Q66" s="1432"/>
      <c r="R66" s="1432"/>
      <c r="S66" s="1432"/>
      <c r="T66" s="1432"/>
      <c r="U66" s="1432"/>
      <c r="V66" s="1432"/>
      <c r="W66" s="1432"/>
      <c r="X66" s="1432"/>
      <c r="Y66" s="1432"/>
      <c r="Z66" s="1432"/>
      <c r="AA66" s="2761"/>
      <c r="AB66" s="3130">
        <f>ROUND(SUM(C66:Y66),1)</f>
        <v>484.5</v>
      </c>
      <c r="AC66" s="3130"/>
      <c r="AD66" s="3381"/>
      <c r="AE66" s="3130">
        <f>+'Exhibit F'!AF61+'Exhibit G State'!AG44+'Exhibit H'!AD30</f>
        <v>571.19999999999993</v>
      </c>
      <c r="AF66" s="3132"/>
      <c r="AG66" s="3132"/>
      <c r="AH66" s="3130">
        <f t="shared" si="13"/>
        <v>-86.7</v>
      </c>
      <c r="AI66" s="3088"/>
      <c r="AJ66" s="1810">
        <f>ROUND(SUM(AH66/ABS(AE66)),3)</f>
        <v>-0.152</v>
      </c>
    </row>
    <row r="67" spans="1:36" ht="15.5">
      <c r="A67" s="2476" t="s">
        <v>938</v>
      </c>
      <c r="B67" s="1433"/>
      <c r="C67" s="1432">
        <f>+'Exhibit F'!D62+'Exhibit G State'!D45</f>
        <v>1.5</v>
      </c>
      <c r="D67" s="1432"/>
      <c r="E67" s="1432"/>
      <c r="F67" s="1432"/>
      <c r="G67" s="1432"/>
      <c r="H67" s="1432"/>
      <c r="I67" s="1432"/>
      <c r="J67" s="1432"/>
      <c r="K67" s="1432"/>
      <c r="L67" s="1432"/>
      <c r="M67" s="1432"/>
      <c r="N67" s="1432"/>
      <c r="O67" s="3130"/>
      <c r="P67" s="1432"/>
      <c r="Q67" s="1432"/>
      <c r="R67" s="1432"/>
      <c r="S67" s="1432"/>
      <c r="T67" s="1432"/>
      <c r="U67" s="1432"/>
      <c r="V67" s="1432"/>
      <c r="W67" s="1432"/>
      <c r="X67" s="1432"/>
      <c r="Y67" s="1432"/>
      <c r="Z67" s="1432"/>
      <c r="AA67" s="2761"/>
      <c r="AB67" s="3130">
        <f>ROUND(SUM(C67:Y67),1)</f>
        <v>1.5</v>
      </c>
      <c r="AC67" s="3130"/>
      <c r="AD67" s="3381"/>
      <c r="AE67" s="3130">
        <f>+'Exhibit F'!AF62+'Exhibit G State'!AG45</f>
        <v>0.1</v>
      </c>
      <c r="AF67" s="3132"/>
      <c r="AG67" s="3132"/>
      <c r="AH67" s="3130">
        <f t="shared" si="13"/>
        <v>1.4</v>
      </c>
      <c r="AI67" s="3088"/>
      <c r="AJ67" s="3767">
        <f>ROUND(IF(AE67=0,0,AH67/ABS(AE67)),3)</f>
        <v>14</v>
      </c>
    </row>
    <row r="68" spans="1:36" ht="15.5">
      <c r="A68" s="2476" t="s">
        <v>939</v>
      </c>
      <c r="B68" s="1433"/>
      <c r="C68" s="1432">
        <f>+'Exhibit F'!D63+'Exhibit G State'!D46</f>
        <v>0</v>
      </c>
      <c r="D68" s="1432"/>
      <c r="E68" s="1432"/>
      <c r="F68" s="1432"/>
      <c r="G68" s="1432"/>
      <c r="H68" s="1432"/>
      <c r="I68" s="1432"/>
      <c r="J68" s="1432"/>
      <c r="K68" s="1432"/>
      <c r="L68" s="1432"/>
      <c r="M68" s="1432"/>
      <c r="N68" s="1432"/>
      <c r="O68" s="3130"/>
      <c r="P68" s="1432"/>
      <c r="Q68" s="1432"/>
      <c r="R68" s="1432"/>
      <c r="S68" s="1432"/>
      <c r="T68" s="1432"/>
      <c r="U68" s="1432"/>
      <c r="V68" s="1432"/>
      <c r="W68" s="1432"/>
      <c r="X68" s="1432"/>
      <c r="Y68" s="1432"/>
      <c r="Z68" s="1432"/>
      <c r="AA68" s="2761"/>
      <c r="AB68" s="3130">
        <f>ROUND(SUM(C68:Y68),1)</f>
        <v>0</v>
      </c>
      <c r="AC68" s="3130"/>
      <c r="AD68" s="3381"/>
      <c r="AE68" s="3130">
        <f>+'Exhibit F'!AF63+'Exhibit G State'!AG46</f>
        <v>0</v>
      </c>
      <c r="AF68" s="3132"/>
      <c r="AG68" s="3132"/>
      <c r="AH68" s="3130">
        <f t="shared" si="13"/>
        <v>0</v>
      </c>
      <c r="AI68" s="3088"/>
      <c r="AJ68" s="1716">
        <f>ROUND(IF(AE68=0,0,AH68/ABS(AE68)),3)</f>
        <v>0</v>
      </c>
    </row>
    <row r="69" spans="1:36" ht="15.5">
      <c r="A69" s="2476" t="s">
        <v>1058</v>
      </c>
      <c r="B69" s="1433"/>
      <c r="C69" s="1432"/>
      <c r="D69" s="1432"/>
      <c r="E69" s="1432"/>
      <c r="F69" s="1432"/>
      <c r="G69" s="1432"/>
      <c r="H69" s="1432"/>
      <c r="I69" s="1432"/>
      <c r="J69" s="1432"/>
      <c r="K69" s="1432"/>
      <c r="L69" s="1432"/>
      <c r="M69" s="1432"/>
      <c r="N69" s="1432"/>
      <c r="O69" s="3130"/>
      <c r="P69" s="1432"/>
      <c r="Q69" s="1432"/>
      <c r="R69" s="1432"/>
      <c r="S69" s="1432"/>
      <c r="T69" s="1432"/>
      <c r="U69" s="1432"/>
      <c r="V69" s="1432"/>
      <c r="W69" s="1432"/>
      <c r="X69" s="1432"/>
      <c r="Y69" s="1432"/>
      <c r="Z69" s="1432"/>
      <c r="AA69" s="2761"/>
      <c r="AB69" s="3130"/>
      <c r="AC69" s="3130"/>
      <c r="AD69" s="3381"/>
      <c r="AE69" s="3130"/>
      <c r="AF69" s="3132"/>
      <c r="AG69" s="3132"/>
      <c r="AH69" s="3130"/>
      <c r="AI69" s="3088"/>
      <c r="AJ69" s="1716"/>
    </row>
    <row r="70" spans="1:36" ht="15.5">
      <c r="A70" s="2476" t="s">
        <v>940</v>
      </c>
      <c r="B70" s="1433"/>
      <c r="C70" s="1432">
        <f>+'Exhibit F'!D65+'Exhibit H'!B32</f>
        <v>5.3</v>
      </c>
      <c r="D70" s="1432"/>
      <c r="E70" s="1432"/>
      <c r="F70" s="1432"/>
      <c r="G70" s="1432"/>
      <c r="H70" s="1432"/>
      <c r="I70" s="1432"/>
      <c r="J70" s="1432"/>
      <c r="K70" s="1432"/>
      <c r="L70" s="1432"/>
      <c r="M70" s="1432"/>
      <c r="N70" s="1432"/>
      <c r="O70" s="3130"/>
      <c r="P70" s="1432"/>
      <c r="Q70" s="1432"/>
      <c r="R70" s="1432"/>
      <c r="S70" s="1432"/>
      <c r="T70" s="1432"/>
      <c r="U70" s="1432"/>
      <c r="V70" s="1432"/>
      <c r="W70" s="1432"/>
      <c r="X70" s="1432"/>
      <c r="Y70" s="1432"/>
      <c r="Z70" s="1432"/>
      <c r="AA70" s="2761"/>
      <c r="AB70" s="3130">
        <f t="shared" ref="AB70:AB77" si="14">ROUND(SUM(C70:Y70),1)</f>
        <v>5.3</v>
      </c>
      <c r="AC70" s="3130"/>
      <c r="AD70" s="3381"/>
      <c r="AE70" s="3130">
        <f>+'Exhibit F'!AF65+'Exhibit H'!AD32</f>
        <v>2.2000000000000002</v>
      </c>
      <c r="AF70" s="3132"/>
      <c r="AG70" s="3132"/>
      <c r="AH70" s="3130">
        <f t="shared" si="13"/>
        <v>3.1</v>
      </c>
      <c r="AI70" s="3088"/>
      <c r="AJ70" s="1810">
        <f>ROUND(SUM(AH70/ABS(AE70)),3)</f>
        <v>1.409</v>
      </c>
    </row>
    <row r="71" spans="1:36" ht="15.5">
      <c r="A71" s="2476" t="s">
        <v>1150</v>
      </c>
      <c r="B71" s="1433"/>
      <c r="C71" s="1432">
        <f>'Exhibit G State'!D48</f>
        <v>0</v>
      </c>
      <c r="D71" s="1432" t="s">
        <v>14</v>
      </c>
      <c r="E71" s="1432"/>
      <c r="F71" s="1432"/>
      <c r="G71" s="1432"/>
      <c r="H71" s="1432"/>
      <c r="I71" s="1432"/>
      <c r="J71" s="1432"/>
      <c r="K71" s="1432"/>
      <c r="L71" s="1432"/>
      <c r="M71" s="1432"/>
      <c r="N71" s="1432"/>
      <c r="O71" s="3130"/>
      <c r="P71" s="1432"/>
      <c r="Q71" s="1432"/>
      <c r="R71" s="1432"/>
      <c r="S71" s="1432"/>
      <c r="T71" s="1432"/>
      <c r="U71" s="1432"/>
      <c r="V71" s="1432"/>
      <c r="W71" s="1432"/>
      <c r="X71" s="1432"/>
      <c r="Y71" s="1432"/>
      <c r="Z71" s="1432"/>
      <c r="AA71" s="2760"/>
      <c r="AB71" s="3130">
        <f t="shared" si="14"/>
        <v>0</v>
      </c>
      <c r="AC71" s="3130"/>
      <c r="AD71" s="3381"/>
      <c r="AE71" s="3130">
        <f>'Exhibit G State'!AG48</f>
        <v>0</v>
      </c>
      <c r="AF71" s="3132"/>
      <c r="AG71" s="3132"/>
      <c r="AH71" s="3130">
        <f t="shared" si="13"/>
        <v>0</v>
      </c>
      <c r="AI71" s="3088"/>
      <c r="AJ71" s="1716">
        <f>ROUND(IF(AE71=0,0,AH71/ABS(AE71)),3)</f>
        <v>0</v>
      </c>
    </row>
    <row r="72" spans="1:36" ht="15.5">
      <c r="A72" s="2476" t="s">
        <v>941</v>
      </c>
      <c r="B72" s="1433"/>
      <c r="C72" s="1432">
        <f>+'Exhibit F'!D67+'Exhibit G State'!D49+'Exhibit H'!B33</f>
        <v>52.6</v>
      </c>
      <c r="D72" s="1432"/>
      <c r="E72" s="1432"/>
      <c r="F72" s="1432"/>
      <c r="G72" s="1432"/>
      <c r="H72" s="1432"/>
      <c r="I72" s="1432"/>
      <c r="J72" s="1432"/>
      <c r="K72" s="1432"/>
      <c r="L72" s="1432"/>
      <c r="M72" s="1432"/>
      <c r="N72" s="1432"/>
      <c r="O72" s="3130"/>
      <c r="P72" s="1432"/>
      <c r="Q72" s="1432"/>
      <c r="R72" s="1432"/>
      <c r="S72" s="1432"/>
      <c r="T72" s="1432"/>
      <c r="U72" s="1432"/>
      <c r="V72" s="1432"/>
      <c r="W72" s="1432"/>
      <c r="X72" s="1432"/>
      <c r="Y72" s="1432"/>
      <c r="Z72" s="1432"/>
      <c r="AA72" s="2761"/>
      <c r="AB72" s="3130">
        <f t="shared" si="14"/>
        <v>52.6</v>
      </c>
      <c r="AC72" s="3130"/>
      <c r="AD72" s="3381"/>
      <c r="AE72" s="3130">
        <f>+'Exhibit F'!AF67+'Exhibit G State'!AG49+'Exhibit H'!AD33</f>
        <v>67.199999999999989</v>
      </c>
      <c r="AF72" s="3132"/>
      <c r="AG72" s="3132"/>
      <c r="AH72" s="3130">
        <f t="shared" si="13"/>
        <v>-14.6</v>
      </c>
      <c r="AI72" s="3088"/>
      <c r="AJ72" s="1810">
        <f>ROUND(SUM(AH72/AE72),3)</f>
        <v>-0.217</v>
      </c>
    </row>
    <row r="73" spans="1:36" ht="15.5">
      <c r="A73" s="2476" t="s">
        <v>942</v>
      </c>
      <c r="B73" s="1433"/>
      <c r="C73" s="1432">
        <f>+'Exhibit F'!D68+'Exhibit G State'!D50+'Exhibit H'!B34</f>
        <v>25.9</v>
      </c>
      <c r="D73" s="1432"/>
      <c r="E73" s="1432"/>
      <c r="F73" s="1432"/>
      <c r="G73" s="1432"/>
      <c r="H73" s="1432"/>
      <c r="I73" s="1432"/>
      <c r="J73" s="1432"/>
      <c r="K73" s="1432"/>
      <c r="L73" s="1432"/>
      <c r="M73" s="1432"/>
      <c r="N73" s="1432"/>
      <c r="O73" s="3130"/>
      <c r="P73" s="1432"/>
      <c r="Q73" s="1432"/>
      <c r="R73" s="1432"/>
      <c r="S73" s="1432"/>
      <c r="T73" s="1432"/>
      <c r="U73" s="1432"/>
      <c r="V73" s="1432"/>
      <c r="W73" s="1432"/>
      <c r="X73" s="1432"/>
      <c r="Y73" s="1432"/>
      <c r="Z73" s="1432"/>
      <c r="AA73" s="2761"/>
      <c r="AB73" s="3130">
        <f t="shared" si="14"/>
        <v>25.9</v>
      </c>
      <c r="AC73" s="3130"/>
      <c r="AD73" s="3381"/>
      <c r="AE73" s="3130">
        <f>+'Exhibit F'!AF68+'Exhibit G State'!AG50+'Exhibit H'!AD34</f>
        <v>4.3000000000000007</v>
      </c>
      <c r="AF73" s="3132"/>
      <c r="AG73" s="3132"/>
      <c r="AH73" s="3130">
        <f t="shared" si="13"/>
        <v>21.6</v>
      </c>
      <c r="AI73" s="3088"/>
      <c r="AJ73" s="1810">
        <f>ROUND(SUM(AH73/ABS(AE73)),3)</f>
        <v>5.0229999999999997</v>
      </c>
    </row>
    <row r="74" spans="1:36" ht="15.5">
      <c r="A74" s="2476" t="s">
        <v>943</v>
      </c>
      <c r="B74" s="1433"/>
      <c r="C74" s="1432">
        <f>+'Exhibit F'!D69+'Exhibit G State'!D51+'Exhibit H'!B35</f>
        <v>1</v>
      </c>
      <c r="D74" s="1432"/>
      <c r="E74" s="1432"/>
      <c r="F74" s="1432"/>
      <c r="G74" s="1432"/>
      <c r="H74" s="1432"/>
      <c r="I74" s="1432"/>
      <c r="J74" s="1432"/>
      <c r="K74" s="1432"/>
      <c r="L74" s="1432"/>
      <c r="M74" s="1432"/>
      <c r="N74" s="1432"/>
      <c r="O74" s="3130"/>
      <c r="P74" s="1432"/>
      <c r="Q74" s="1432"/>
      <c r="R74" s="1432"/>
      <c r="S74" s="1432"/>
      <c r="T74" s="1432"/>
      <c r="U74" s="1432"/>
      <c r="V74" s="1432"/>
      <c r="W74" s="1432"/>
      <c r="X74" s="1432"/>
      <c r="Y74" s="1432"/>
      <c r="Z74" s="1432"/>
      <c r="AA74" s="2761"/>
      <c r="AB74" s="3130">
        <f t="shared" si="14"/>
        <v>1</v>
      </c>
      <c r="AC74" s="3130"/>
      <c r="AD74" s="3381"/>
      <c r="AE74" s="3130">
        <f>+'Exhibit F'!AF69+'Exhibit G State'!AG51+'Exhibit H'!AD35</f>
        <v>0.6</v>
      </c>
      <c r="AF74" s="3132"/>
      <c r="AG74" s="3132"/>
      <c r="AH74" s="3130">
        <f t="shared" si="13"/>
        <v>0.4</v>
      </c>
      <c r="AI74" s="3088"/>
      <c r="AJ74" s="1810">
        <f>ROUND(SUM(AH74/ABS(AE74)),3)</f>
        <v>0.66700000000000004</v>
      </c>
    </row>
    <row r="75" spans="1:36" ht="15.5">
      <c r="A75" s="2476" t="s">
        <v>944</v>
      </c>
      <c r="B75" s="1433"/>
      <c r="C75" s="1432">
        <f>+'Exhibit F'!D70+'Exhibit G State'!D52+'Exhibit H'!B36</f>
        <v>49.8</v>
      </c>
      <c r="D75" s="1432"/>
      <c r="E75" s="1432"/>
      <c r="F75" s="1432"/>
      <c r="G75" s="1432"/>
      <c r="H75" s="1432"/>
      <c r="I75" s="1432"/>
      <c r="J75" s="1432"/>
      <c r="K75" s="1432"/>
      <c r="L75" s="1432"/>
      <c r="M75" s="1432"/>
      <c r="N75" s="1432"/>
      <c r="O75" s="3130"/>
      <c r="P75" s="1432"/>
      <c r="Q75" s="1432"/>
      <c r="R75" s="1432"/>
      <c r="S75" s="1432"/>
      <c r="T75" s="1432"/>
      <c r="U75" s="1432"/>
      <c r="V75" s="1432"/>
      <c r="W75" s="1432"/>
      <c r="X75" s="1432"/>
      <c r="Y75" s="1432"/>
      <c r="Z75" s="1432"/>
      <c r="AA75" s="2761"/>
      <c r="AB75" s="3130">
        <f t="shared" si="14"/>
        <v>49.8</v>
      </c>
      <c r="AC75" s="3130"/>
      <c r="AD75" s="3381"/>
      <c r="AE75" s="3130">
        <f>+'Exhibit F'!AF70+'Exhibit G State'!AG52+'Exhibit H'!AD36</f>
        <v>-82</v>
      </c>
      <c r="AF75" s="3132"/>
      <c r="AG75" s="3132"/>
      <c r="AH75" s="3130">
        <f t="shared" si="13"/>
        <v>131.80000000000001</v>
      </c>
      <c r="AI75" s="3088"/>
      <c r="AJ75" s="1716">
        <f>ROUND(IF(AE75=0,0,AH75/ABS(AE75)),3)</f>
        <v>1.607</v>
      </c>
    </row>
    <row r="76" spans="1:36" ht="15.5">
      <c r="A76" s="2476" t="s">
        <v>945</v>
      </c>
      <c r="B76" s="1433"/>
      <c r="C76" s="1432">
        <f>+'Exhibit F'!D71+'Exhibit G State'!D53+'Exhibit H'!B37</f>
        <v>66.900000000000006</v>
      </c>
      <c r="D76" s="1432"/>
      <c r="E76" s="1432"/>
      <c r="F76" s="1432"/>
      <c r="G76" s="1432"/>
      <c r="H76" s="1432"/>
      <c r="I76" s="1432"/>
      <c r="J76" s="1432"/>
      <c r="K76" s="1432"/>
      <c r="L76" s="1432"/>
      <c r="M76" s="1432"/>
      <c r="N76" s="1432"/>
      <c r="O76" s="3130"/>
      <c r="P76" s="1432"/>
      <c r="Q76" s="1432"/>
      <c r="R76" s="1432"/>
      <c r="S76" s="1432"/>
      <c r="T76" s="1432"/>
      <c r="U76" s="1432"/>
      <c r="V76" s="1432"/>
      <c r="W76" s="1432"/>
      <c r="X76" s="1432"/>
      <c r="Y76" s="1432"/>
      <c r="Z76" s="1432"/>
      <c r="AA76" s="2761"/>
      <c r="AB76" s="3130">
        <f t="shared" si="14"/>
        <v>66.900000000000006</v>
      </c>
      <c r="AC76" s="3130"/>
      <c r="AD76" s="3381"/>
      <c r="AE76" s="3130">
        <f>+'Exhibit F'!AF71+'Exhibit G State'!AG53+'Exhibit H'!AD37</f>
        <v>43</v>
      </c>
      <c r="AF76" s="3132"/>
      <c r="AG76" s="3132"/>
      <c r="AH76" s="3130">
        <f t="shared" si="13"/>
        <v>23.9</v>
      </c>
      <c r="AI76" s="3088"/>
      <c r="AJ76" s="1810">
        <f>ROUND(SUM(AH76/ABS(AE76)),3)</f>
        <v>0.55600000000000005</v>
      </c>
    </row>
    <row r="77" spans="1:36" ht="15.5">
      <c r="A77" s="2476" t="s">
        <v>934</v>
      </c>
      <c r="B77" s="1433"/>
      <c r="C77" s="1432">
        <f>+'Exhibit F'!D72+'Exhibit G State'!D54</f>
        <v>47.5</v>
      </c>
      <c r="D77" s="1432"/>
      <c r="E77" s="1432"/>
      <c r="F77" s="1432"/>
      <c r="G77" s="1432"/>
      <c r="H77" s="1432"/>
      <c r="I77" s="1432"/>
      <c r="J77" s="1432"/>
      <c r="K77" s="1432"/>
      <c r="L77" s="1432"/>
      <c r="M77" s="1432"/>
      <c r="N77" s="1432"/>
      <c r="O77" s="3130"/>
      <c r="P77" s="1432"/>
      <c r="Q77" s="1432"/>
      <c r="R77" s="1432"/>
      <c r="S77" s="1432"/>
      <c r="T77" s="1432"/>
      <c r="U77" s="1432"/>
      <c r="V77" s="1432"/>
      <c r="W77" s="1432"/>
      <c r="X77" s="1432"/>
      <c r="Y77" s="1432"/>
      <c r="Z77" s="1432"/>
      <c r="AA77" s="2761"/>
      <c r="AB77" s="3130">
        <f t="shared" si="14"/>
        <v>47.5</v>
      </c>
      <c r="AC77" s="3130"/>
      <c r="AD77" s="3381"/>
      <c r="AE77" s="3130">
        <f>+'Exhibit F'!AF72+'Exhibit G State'!AG54</f>
        <v>98.600000000000009</v>
      </c>
      <c r="AF77" s="3132"/>
      <c r="AG77" s="3132"/>
      <c r="AH77" s="3130">
        <f t="shared" si="13"/>
        <v>-51.1</v>
      </c>
      <c r="AI77" s="3088"/>
      <c r="AJ77" s="1810">
        <f>ROUND(SUM(AH77/ABS(AE77)),3)</f>
        <v>-0.51800000000000002</v>
      </c>
    </row>
    <row r="78" spans="1:36" ht="15.5">
      <c r="A78" s="2476" t="s">
        <v>1055</v>
      </c>
      <c r="B78" s="1433"/>
      <c r="C78" s="1432"/>
      <c r="D78" s="1432"/>
      <c r="E78" s="1432"/>
      <c r="F78" s="1432"/>
      <c r="G78" s="1432"/>
      <c r="H78" s="1432"/>
      <c r="I78" s="1432"/>
      <c r="J78" s="1432"/>
      <c r="K78" s="1432"/>
      <c r="L78" s="1432"/>
      <c r="M78" s="1432"/>
      <c r="N78" s="1432"/>
      <c r="O78" s="3130"/>
      <c r="P78" s="1432"/>
      <c r="Q78" s="1432"/>
      <c r="R78" s="1432"/>
      <c r="S78" s="1432"/>
      <c r="T78" s="1432"/>
      <c r="U78" s="1432"/>
      <c r="V78" s="1432"/>
      <c r="W78" s="1432"/>
      <c r="X78" s="1432"/>
      <c r="Y78" s="1432"/>
      <c r="Z78" s="1432"/>
      <c r="AA78" s="2761"/>
      <c r="AB78" s="3130"/>
      <c r="AC78" s="3130"/>
      <c r="AD78" s="3381"/>
      <c r="AE78" s="3130"/>
      <c r="AF78" s="3132"/>
      <c r="AG78" s="3132"/>
      <c r="AH78" s="3130"/>
      <c r="AI78" s="3088"/>
      <c r="AJ78" s="1810" t="s">
        <v>14</v>
      </c>
    </row>
    <row r="79" spans="1:36" ht="15.5">
      <c r="A79" s="2476" t="s">
        <v>946</v>
      </c>
      <c r="B79" s="1433"/>
      <c r="C79" s="1432">
        <f>+'Exhibit G State'!D56</f>
        <v>34.200000000000003</v>
      </c>
      <c r="D79" s="1432"/>
      <c r="E79" s="1432"/>
      <c r="F79" s="1432"/>
      <c r="G79" s="1432"/>
      <c r="H79" s="1432"/>
      <c r="I79" s="1432"/>
      <c r="J79" s="1432"/>
      <c r="K79" s="1432"/>
      <c r="L79" s="1432"/>
      <c r="M79" s="1432"/>
      <c r="N79" s="1432"/>
      <c r="O79" s="3130"/>
      <c r="P79" s="1432"/>
      <c r="Q79" s="1432"/>
      <c r="R79" s="1432"/>
      <c r="S79" s="1432"/>
      <c r="T79" s="1432"/>
      <c r="U79" s="1432"/>
      <c r="V79" s="1432"/>
      <c r="W79" s="1432"/>
      <c r="X79" s="1432"/>
      <c r="Y79" s="1432"/>
      <c r="Z79" s="1432"/>
      <c r="AA79" s="2761"/>
      <c r="AB79" s="3130">
        <f>ROUND(SUM(C79:Y79),1)</f>
        <v>34.200000000000003</v>
      </c>
      <c r="AC79" s="3130"/>
      <c r="AD79" s="3381"/>
      <c r="AE79" s="3130">
        <f>+'Exhibit G State'!AG56</f>
        <v>0</v>
      </c>
      <c r="AF79" s="3132"/>
      <c r="AG79" s="3132"/>
      <c r="AH79" s="3130">
        <f t="shared" si="13"/>
        <v>34.200000000000003</v>
      </c>
      <c r="AI79" s="3088"/>
      <c r="AJ79" s="1716">
        <f>ROUND(IF(AE79=0,1,AH79/ABS(AE79)),3)</f>
        <v>1</v>
      </c>
    </row>
    <row r="80" spans="1:36" ht="15.5">
      <c r="A80" s="2476" t="s">
        <v>947</v>
      </c>
      <c r="B80" s="1433"/>
      <c r="C80" s="1432">
        <f>+'Exhibit G State'!D57</f>
        <v>199.5</v>
      </c>
      <c r="D80" s="1432"/>
      <c r="E80" s="1432"/>
      <c r="F80" s="1432"/>
      <c r="G80" s="1432"/>
      <c r="H80" s="1432"/>
      <c r="I80" s="1432"/>
      <c r="J80" s="1432"/>
      <c r="K80" s="1432"/>
      <c r="L80" s="1432"/>
      <c r="M80" s="1432"/>
      <c r="N80" s="1432"/>
      <c r="O80" s="3130"/>
      <c r="P80" s="1432"/>
      <c r="Q80" s="1432"/>
      <c r="R80" s="1432"/>
      <c r="S80" s="1432"/>
      <c r="T80" s="1432"/>
      <c r="U80" s="1432"/>
      <c r="V80" s="1432"/>
      <c r="W80" s="1432"/>
      <c r="X80" s="1432"/>
      <c r="Y80" s="1432"/>
      <c r="Z80" s="1432"/>
      <c r="AA80" s="2761"/>
      <c r="AB80" s="3130">
        <f>ROUND(SUM(C80:Y80),1)</f>
        <v>199.5</v>
      </c>
      <c r="AC80" s="3130"/>
      <c r="AD80" s="3381"/>
      <c r="AE80" s="3130">
        <f>+'Exhibit G State'!AG57</f>
        <v>157</v>
      </c>
      <c r="AF80" s="3132"/>
      <c r="AG80" s="3132"/>
      <c r="AH80" s="3130">
        <f t="shared" si="13"/>
        <v>42.5</v>
      </c>
      <c r="AI80" s="3088"/>
      <c r="AJ80" s="1716">
        <f t="shared" ref="AJ80" si="15">ROUND(IF(AE80=0,0,AH80/ABS(AE80)),3)</f>
        <v>0.27100000000000002</v>
      </c>
    </row>
    <row r="81" spans="1:36" ht="15.5">
      <c r="A81" s="2476" t="s">
        <v>948</v>
      </c>
      <c r="B81" s="1433"/>
      <c r="C81" s="1432">
        <f>+'Exhibit G State'!D58</f>
        <v>75.900000000000006</v>
      </c>
      <c r="D81" s="1432"/>
      <c r="E81" s="1432"/>
      <c r="F81" s="1432"/>
      <c r="G81" s="1432"/>
      <c r="H81" s="1432"/>
      <c r="I81" s="1432"/>
      <c r="J81" s="1432"/>
      <c r="K81" s="1432"/>
      <c r="L81" s="1432"/>
      <c r="M81" s="1432"/>
      <c r="N81" s="1432"/>
      <c r="O81" s="3130"/>
      <c r="P81" s="1432"/>
      <c r="Q81" s="1432"/>
      <c r="R81" s="1432"/>
      <c r="S81" s="1432"/>
      <c r="T81" s="1432"/>
      <c r="U81" s="1432"/>
      <c r="V81" s="1432"/>
      <c r="W81" s="1432"/>
      <c r="X81" s="1432"/>
      <c r="Y81" s="1432"/>
      <c r="Z81" s="1432"/>
      <c r="AA81" s="2761"/>
      <c r="AB81" s="3130">
        <f>ROUND(SUM(C81:Y81),1)</f>
        <v>75.900000000000006</v>
      </c>
      <c r="AC81" s="3130"/>
      <c r="AD81" s="3381"/>
      <c r="AE81" s="3130">
        <f>+'Exhibit G State'!AG58</f>
        <v>0</v>
      </c>
      <c r="AF81" s="3132"/>
      <c r="AG81" s="3132"/>
      <c r="AH81" s="3130">
        <f t="shared" si="13"/>
        <v>75.900000000000006</v>
      </c>
      <c r="AI81" s="3088"/>
      <c r="AJ81" s="1716">
        <f>ROUND(IF(AE81=0,1,AH81/ABS(AE81)),3)</f>
        <v>1</v>
      </c>
    </row>
    <row r="82" spans="1:36" ht="15.5">
      <c r="A82" s="2476" t="s">
        <v>935</v>
      </c>
      <c r="B82" s="1433"/>
      <c r="C82" s="1432">
        <f>+'Exhibit F'!D73+'Exhibit H'!B38+'Exhibit G State'!D59</f>
        <v>5</v>
      </c>
      <c r="D82" s="1432"/>
      <c r="E82" s="1432"/>
      <c r="F82" s="1432"/>
      <c r="G82" s="1432"/>
      <c r="H82" s="1432"/>
      <c r="I82" s="1432"/>
      <c r="J82" s="1432"/>
      <c r="K82" s="1432"/>
      <c r="L82" s="1432"/>
      <c r="M82" s="1432"/>
      <c r="N82" s="1432"/>
      <c r="O82" s="3130"/>
      <c r="P82" s="1432"/>
      <c r="Q82" s="1432"/>
      <c r="R82" s="1432"/>
      <c r="S82" s="1432"/>
      <c r="T82" s="1432"/>
      <c r="U82" s="1432"/>
      <c r="V82" s="1432"/>
      <c r="W82" s="1432"/>
      <c r="X82" s="1432"/>
      <c r="Y82" s="1432"/>
      <c r="Z82" s="1432"/>
      <c r="AA82" s="2761"/>
      <c r="AB82" s="3130">
        <f>ROUND(SUM(C82:Y82),1)</f>
        <v>5</v>
      </c>
      <c r="AC82" s="3130"/>
      <c r="AD82" s="3381"/>
      <c r="AE82" s="3130">
        <f>+'Exhibit F'!AF73+'Exhibit H'!AD38+'Exhibit G State'!AG59</f>
        <v>29.2</v>
      </c>
      <c r="AF82" s="3132"/>
      <c r="AG82" s="3132"/>
      <c r="AH82" s="3130">
        <f t="shared" si="13"/>
        <v>-24.2</v>
      </c>
      <c r="AI82" s="3088"/>
      <c r="AJ82" s="1821">
        <f>ROUND(SUM(AH82/ABS(AE82)),3)</f>
        <v>-0.82899999999999996</v>
      </c>
    </row>
    <row r="83" spans="1:36" ht="15.5">
      <c r="A83" s="2476" t="s">
        <v>953</v>
      </c>
      <c r="B83" s="1433"/>
      <c r="C83" s="1432">
        <f>+'Exhibit F'!D74+'Exhibit H'!B39+'Exhibit G State'!D60</f>
        <v>6.7</v>
      </c>
      <c r="D83" s="1432"/>
      <c r="E83" s="1432"/>
      <c r="F83" s="1432"/>
      <c r="G83" s="1432"/>
      <c r="H83" s="1432"/>
      <c r="I83" s="1432"/>
      <c r="J83" s="1432"/>
      <c r="K83" s="1432"/>
      <c r="L83" s="1432"/>
      <c r="M83" s="1432"/>
      <c r="N83" s="1432"/>
      <c r="O83" s="3130"/>
      <c r="P83" s="1432"/>
      <c r="Q83" s="1432"/>
      <c r="R83" s="1432"/>
      <c r="S83" s="1432"/>
      <c r="T83" s="1432"/>
      <c r="U83" s="1432"/>
      <c r="V83" s="1432"/>
      <c r="W83" s="1432"/>
      <c r="X83" s="1432"/>
      <c r="Y83" s="1432"/>
      <c r="Z83" s="1432"/>
      <c r="AA83" s="2761"/>
      <c r="AB83" s="3130">
        <f>ROUND(SUM(C83:Y83),1)</f>
        <v>6.7</v>
      </c>
      <c r="AC83" s="3130"/>
      <c r="AD83" s="3381"/>
      <c r="AE83" s="3130">
        <f>+'Exhibit F'!AF74+'Exhibit H'!AD39+'Exhibit G State'!AG60</f>
        <v>9.2999999999999989</v>
      </c>
      <c r="AF83" s="3132"/>
      <c r="AG83" s="3132"/>
      <c r="AH83" s="3130">
        <f>ROUND(SUM(AB83-AE83),1)</f>
        <v>-2.6</v>
      </c>
      <c r="AI83" s="3088"/>
      <c r="AJ83" s="1821">
        <f>ROUND(SUM(AH83/ABS(AE83)),3)</f>
        <v>-0.28000000000000003</v>
      </c>
    </row>
    <row r="84" spans="1:36" ht="15.5">
      <c r="A84" s="2476" t="s">
        <v>1056</v>
      </c>
      <c r="B84" s="1433"/>
      <c r="C84" s="1432"/>
      <c r="D84" s="1432"/>
      <c r="E84" s="1432"/>
      <c r="F84" s="1432"/>
      <c r="G84" s="1432"/>
      <c r="H84" s="1432"/>
      <c r="I84" s="1432"/>
      <c r="J84" s="1432"/>
      <c r="K84" s="1432"/>
      <c r="L84" s="1432"/>
      <c r="M84" s="1432"/>
      <c r="N84" s="1432"/>
      <c r="O84" s="3130"/>
      <c r="P84" s="1432"/>
      <c r="Q84" s="1432"/>
      <c r="R84" s="1432"/>
      <c r="S84" s="1432"/>
      <c r="T84" s="1432"/>
      <c r="U84" s="1432"/>
      <c r="V84" s="1432"/>
      <c r="W84" s="1432"/>
      <c r="X84" s="1432"/>
      <c r="Y84" s="1432"/>
      <c r="Z84" s="1432"/>
      <c r="AA84" s="2761"/>
      <c r="AB84" s="3130"/>
      <c r="AC84" s="3130"/>
      <c r="AD84" s="3381"/>
      <c r="AE84" s="3130"/>
      <c r="AF84" s="3132"/>
      <c r="AG84" s="3132"/>
      <c r="AH84" s="3130"/>
      <c r="AI84" s="3088"/>
      <c r="AJ84" s="1716"/>
    </row>
    <row r="85" spans="1:36" ht="15.5">
      <c r="A85" s="2476" t="s">
        <v>949</v>
      </c>
      <c r="B85" s="1433"/>
      <c r="C85" s="1432">
        <f>+'Exhibit G State'!D62</f>
        <v>0</v>
      </c>
      <c r="D85" s="1432"/>
      <c r="E85" s="1432"/>
      <c r="F85" s="1432"/>
      <c r="G85" s="1432"/>
      <c r="H85" s="1432"/>
      <c r="I85" s="1432"/>
      <c r="J85" s="1432"/>
      <c r="K85" s="1432"/>
      <c r="L85" s="1432"/>
      <c r="M85" s="1432"/>
      <c r="N85" s="1432"/>
      <c r="O85" s="3130"/>
      <c r="P85" s="1432"/>
      <c r="Q85" s="1432"/>
      <c r="R85" s="1432"/>
      <c r="S85" s="1432"/>
      <c r="T85" s="1432"/>
      <c r="U85" s="1432"/>
      <c r="V85" s="1432"/>
      <c r="W85" s="1432"/>
      <c r="X85" s="1432"/>
      <c r="Y85" s="1432"/>
      <c r="Z85" s="1432"/>
      <c r="AA85" s="2761"/>
      <c r="AB85" s="3130">
        <f t="shared" ref="AB85:AB89" si="16">ROUND(SUM(C85:Y85),1)</f>
        <v>0</v>
      </c>
      <c r="AC85" s="3130"/>
      <c r="AD85" s="3381"/>
      <c r="AE85" s="3130">
        <f>+'Exhibit G State'!AG62+'Exhibit H'!AD41</f>
        <v>0</v>
      </c>
      <c r="AF85" s="3132"/>
      <c r="AG85" s="3132"/>
      <c r="AH85" s="3130">
        <f t="shared" si="13"/>
        <v>0</v>
      </c>
      <c r="AI85" s="3088"/>
      <c r="AJ85" s="1716">
        <f>ROUND(IF(AE85=0,0,AH85/ABS(AE85)),3)</f>
        <v>0</v>
      </c>
    </row>
    <row r="86" spans="1:36" ht="15.5">
      <c r="A86" s="2476" t="s">
        <v>950</v>
      </c>
      <c r="B86" s="1433"/>
      <c r="C86" s="1432">
        <f>+'Exhibit F'!D77+'Exhibit G State'!D63</f>
        <v>0</v>
      </c>
      <c r="D86" s="1432"/>
      <c r="E86" s="1432"/>
      <c r="F86" s="1432"/>
      <c r="G86" s="1432"/>
      <c r="H86" s="1432"/>
      <c r="I86" s="1432"/>
      <c r="J86" s="1432"/>
      <c r="K86" s="1432"/>
      <c r="L86" s="1432"/>
      <c r="M86" s="1432"/>
      <c r="N86" s="1432"/>
      <c r="O86" s="3130"/>
      <c r="P86" s="1432"/>
      <c r="Q86" s="1432"/>
      <c r="R86" s="1432"/>
      <c r="S86" s="1432"/>
      <c r="T86" s="1432"/>
      <c r="U86" s="1432"/>
      <c r="V86" s="1432"/>
      <c r="W86" s="1432"/>
      <c r="X86" s="1432"/>
      <c r="Y86" s="1432"/>
      <c r="Z86" s="1432"/>
      <c r="AA86" s="2761"/>
      <c r="AB86" s="3130">
        <f t="shared" si="16"/>
        <v>0</v>
      </c>
      <c r="AC86" s="3130"/>
      <c r="AD86" s="3381"/>
      <c r="AE86" s="3130">
        <f>+'Exhibit F'!AF77+'Exhibit G State'!AG63</f>
        <v>0</v>
      </c>
      <c r="AF86" s="3132"/>
      <c r="AG86" s="3132"/>
      <c r="AH86" s="3130">
        <f t="shared" si="13"/>
        <v>0</v>
      </c>
      <c r="AI86" s="3088"/>
      <c r="AJ86" s="1810">
        <f>ROUND(IF(AE86=0,0,AH86/ABS(AE86)),3)</f>
        <v>0</v>
      </c>
    </row>
    <row r="87" spans="1:36" ht="15.5">
      <c r="A87" s="2476" t="s">
        <v>951</v>
      </c>
      <c r="B87" s="1433"/>
      <c r="C87" s="1432">
        <f>+'Exhibit F'!D78+'Exhibit G State'!D64</f>
        <v>2.7</v>
      </c>
      <c r="D87" s="1432"/>
      <c r="E87" s="1432"/>
      <c r="F87" s="1432"/>
      <c r="G87" s="1432"/>
      <c r="H87" s="1432"/>
      <c r="I87" s="1432"/>
      <c r="J87" s="1432"/>
      <c r="K87" s="1432"/>
      <c r="L87" s="1432"/>
      <c r="M87" s="1432"/>
      <c r="N87" s="1432"/>
      <c r="O87" s="3130"/>
      <c r="P87" s="1432"/>
      <c r="Q87" s="1432"/>
      <c r="R87" s="1432"/>
      <c r="S87" s="1432"/>
      <c r="T87" s="1432"/>
      <c r="U87" s="1432"/>
      <c r="V87" s="1432"/>
      <c r="W87" s="1432"/>
      <c r="X87" s="1432"/>
      <c r="Y87" s="1432"/>
      <c r="Z87" s="1432"/>
      <c r="AA87" s="2761"/>
      <c r="AB87" s="3130">
        <f t="shared" si="16"/>
        <v>2.7</v>
      </c>
      <c r="AC87" s="3130"/>
      <c r="AD87" s="3381"/>
      <c r="AE87" s="3130">
        <f>+'Exhibit F'!AF78+'Exhibit G State'!AG64</f>
        <v>0.5</v>
      </c>
      <c r="AF87" s="3132"/>
      <c r="AG87" s="3132"/>
      <c r="AH87" s="3130">
        <f t="shared" si="13"/>
        <v>2.2000000000000002</v>
      </c>
      <c r="AI87" s="3088"/>
      <c r="AJ87" s="1821">
        <f>ROUND(SUM(AH87/ABS(AE87)),3)</f>
        <v>4.4000000000000004</v>
      </c>
    </row>
    <row r="88" spans="1:36" ht="15.5">
      <c r="A88" s="2476" t="s">
        <v>952</v>
      </c>
      <c r="B88" s="1433"/>
      <c r="C88" s="1432">
        <f>+'Exhibit F'!D79+'Exhibit G State'!D65</f>
        <v>0.2</v>
      </c>
      <c r="D88" s="1432"/>
      <c r="E88" s="1432"/>
      <c r="F88" s="1432"/>
      <c r="G88" s="1432"/>
      <c r="H88" s="1432"/>
      <c r="I88" s="1432"/>
      <c r="J88" s="1432"/>
      <c r="K88" s="1432"/>
      <c r="L88" s="1432"/>
      <c r="M88" s="1432"/>
      <c r="N88" s="1432"/>
      <c r="O88" s="3130"/>
      <c r="P88" s="1432"/>
      <c r="Q88" s="1432"/>
      <c r="R88" s="1432"/>
      <c r="S88" s="1432"/>
      <c r="T88" s="1432"/>
      <c r="U88" s="1432"/>
      <c r="V88" s="1432"/>
      <c r="W88" s="1432"/>
      <c r="X88" s="1432"/>
      <c r="Y88" s="1432"/>
      <c r="Z88" s="1432"/>
      <c r="AA88" s="2761"/>
      <c r="AB88" s="3130">
        <f t="shared" si="16"/>
        <v>0.2</v>
      </c>
      <c r="AC88" s="3130"/>
      <c r="AD88" s="3381"/>
      <c r="AE88" s="3130">
        <f>+'Exhibit F'!AF79+'Exhibit G State'!AG65</f>
        <v>8.9</v>
      </c>
      <c r="AF88" s="3132"/>
      <c r="AG88" s="3132"/>
      <c r="AH88" s="3130">
        <f t="shared" si="13"/>
        <v>-8.6999999999999993</v>
      </c>
      <c r="AI88" s="3088"/>
      <c r="AJ88" s="1821">
        <f>ROUND(SUM(AH88/ABS(AE88)),3)</f>
        <v>-0.97799999999999998</v>
      </c>
    </row>
    <row r="89" spans="1:36" ht="15.5">
      <c r="A89" s="2476" t="s">
        <v>954</v>
      </c>
      <c r="B89" s="1433"/>
      <c r="C89" s="1432">
        <f>+'Exhibit F'!D80+'Exhibit H'!B42+'Exhibit G State'!D66</f>
        <v>42</v>
      </c>
      <c r="D89" s="1432"/>
      <c r="E89" s="1432"/>
      <c r="F89" s="1432"/>
      <c r="G89" s="1432"/>
      <c r="H89" s="1432"/>
      <c r="I89" s="1432"/>
      <c r="J89" s="1432"/>
      <c r="K89" s="1432"/>
      <c r="L89" s="1432"/>
      <c r="M89" s="1432"/>
      <c r="N89" s="1432"/>
      <c r="O89" s="3130"/>
      <c r="P89" s="1432"/>
      <c r="Q89" s="1432"/>
      <c r="R89" s="1432"/>
      <c r="S89" s="1432"/>
      <c r="T89" s="1432"/>
      <c r="U89" s="1432"/>
      <c r="V89" s="1432"/>
      <c r="W89" s="1432"/>
      <c r="X89" s="1432"/>
      <c r="Y89" s="1432"/>
      <c r="Z89" s="1432"/>
      <c r="AA89" s="2761"/>
      <c r="AB89" s="3130">
        <f t="shared" si="16"/>
        <v>42</v>
      </c>
      <c r="AC89" s="3130"/>
      <c r="AD89" s="3381"/>
      <c r="AE89" s="3130">
        <f>+'Exhibit F'!AF80+'Exhibit H'!AD42+'Exhibit G State'!AG66</f>
        <v>-5.0999999999999996</v>
      </c>
      <c r="AF89" s="3132"/>
      <c r="AG89" s="3132"/>
      <c r="AH89" s="3130">
        <f t="shared" si="13"/>
        <v>47.1</v>
      </c>
      <c r="AI89" s="3088"/>
      <c r="AJ89" s="1821">
        <f>ROUND(SUM(AH89/ABS(AE89)),3)</f>
        <v>9.2349999999999994</v>
      </c>
    </row>
    <row r="90" spans="1:36" ht="15.5">
      <c r="A90" s="2476" t="s">
        <v>1057</v>
      </c>
      <c r="B90" s="1433"/>
      <c r="C90" s="1432"/>
      <c r="D90" s="1432"/>
      <c r="E90" s="1432"/>
      <c r="F90" s="1432"/>
      <c r="G90" s="1432"/>
      <c r="H90" s="1432"/>
      <c r="I90" s="1432"/>
      <c r="J90" s="1432"/>
      <c r="K90" s="1432"/>
      <c r="L90" s="1432"/>
      <c r="M90" s="1432"/>
      <c r="N90" s="1432"/>
      <c r="O90" s="3130"/>
      <c r="P90" s="1432"/>
      <c r="Q90" s="1432"/>
      <c r="R90" s="1432"/>
      <c r="S90" s="1432"/>
      <c r="T90" s="1432"/>
      <c r="U90" s="1432"/>
      <c r="V90" s="1432"/>
      <c r="W90" s="1432"/>
      <c r="X90" s="1432"/>
      <c r="Y90" s="1432"/>
      <c r="Z90" s="1432"/>
      <c r="AA90" s="2761"/>
      <c r="AB90" s="3130"/>
      <c r="AC90" s="3130"/>
      <c r="AD90" s="3381"/>
      <c r="AE90" s="3130"/>
      <c r="AF90" s="3132"/>
      <c r="AG90" s="3132"/>
      <c r="AH90" s="3130"/>
      <c r="AI90" s="3088"/>
      <c r="AJ90" s="1716"/>
    </row>
    <row r="91" spans="1:36" ht="15.5">
      <c r="A91" s="2476" t="s">
        <v>955</v>
      </c>
      <c r="B91" s="1433"/>
      <c r="C91" s="1432">
        <f>+'Exhibit F'!D82+'Exhibit G State'!D68</f>
        <v>45.8</v>
      </c>
      <c r="D91" s="1432"/>
      <c r="E91" s="1432"/>
      <c r="F91" s="1432"/>
      <c r="G91" s="1432"/>
      <c r="H91" s="1432"/>
      <c r="I91" s="1432"/>
      <c r="J91" s="1432"/>
      <c r="K91" s="1432"/>
      <c r="L91" s="1432"/>
      <c r="M91" s="1432"/>
      <c r="N91" s="1432"/>
      <c r="O91" s="3130"/>
      <c r="P91" s="1432"/>
      <c r="Q91" s="1432"/>
      <c r="R91" s="1432"/>
      <c r="S91" s="1432"/>
      <c r="T91" s="1432"/>
      <c r="U91" s="1432"/>
      <c r="V91" s="1432"/>
      <c r="W91" s="1432"/>
      <c r="X91" s="1432"/>
      <c r="Y91" s="1432"/>
      <c r="Z91" s="1432"/>
      <c r="AA91" s="2761"/>
      <c r="AB91" s="3130">
        <f t="shared" ref="AB91:AB102" si="17">ROUND(SUM(C91:Y91),1)</f>
        <v>45.8</v>
      </c>
      <c r="AC91" s="3130"/>
      <c r="AD91" s="3381"/>
      <c r="AE91" s="3130">
        <f>+'Exhibit F'!AF82+'Exhibit G State'!AG68</f>
        <v>24.999999999999996</v>
      </c>
      <c r="AF91" s="3132"/>
      <c r="AG91" s="3132"/>
      <c r="AH91" s="3130">
        <f t="shared" si="13"/>
        <v>20.8</v>
      </c>
      <c r="AI91" s="3088"/>
      <c r="AJ91" s="1821">
        <f>ROUND(SUM(AH91/ABS(AE91)),3)</f>
        <v>0.83199999999999996</v>
      </c>
    </row>
    <row r="92" spans="1:36" ht="15.5">
      <c r="A92" s="2476" t="s">
        <v>956</v>
      </c>
      <c r="B92" s="1433"/>
      <c r="C92" s="1432">
        <f>+'Exhibit G State'!D69+'Exhibit F'!D83</f>
        <v>0.9</v>
      </c>
      <c r="D92" s="1432"/>
      <c r="E92" s="1432"/>
      <c r="F92" s="1432"/>
      <c r="G92" s="1432"/>
      <c r="H92" s="1432"/>
      <c r="I92" s="1432"/>
      <c r="J92" s="1432"/>
      <c r="K92" s="1432"/>
      <c r="L92" s="1432"/>
      <c r="M92" s="1432"/>
      <c r="N92" s="1432"/>
      <c r="O92" s="3130"/>
      <c r="P92" s="1432"/>
      <c r="Q92" s="1432"/>
      <c r="R92" s="1432"/>
      <c r="S92" s="1432"/>
      <c r="T92" s="1432"/>
      <c r="U92" s="1432"/>
      <c r="V92" s="1432"/>
      <c r="W92" s="1432"/>
      <c r="X92" s="1432"/>
      <c r="Y92" s="1432"/>
      <c r="Z92" s="1432"/>
      <c r="AA92" s="2761"/>
      <c r="AB92" s="3130">
        <f t="shared" si="17"/>
        <v>0.9</v>
      </c>
      <c r="AC92" s="3130"/>
      <c r="AD92" s="3381"/>
      <c r="AE92" s="3130">
        <f>+'Exhibit G State'!AG69+'Exhibit F'!AF83</f>
        <v>0.60000000000000009</v>
      </c>
      <c r="AF92" s="3132"/>
      <c r="AG92" s="3132"/>
      <c r="AH92" s="3130">
        <f t="shared" si="13"/>
        <v>0.3</v>
      </c>
      <c r="AI92" s="3088"/>
      <c r="AJ92" s="1721">
        <f>ROUND(IF(AE92=0,1,AH92/ABS(AE92)),3)</f>
        <v>0.5</v>
      </c>
    </row>
    <row r="93" spans="1:36" ht="15.5">
      <c r="A93" s="886" t="s">
        <v>1290</v>
      </c>
      <c r="B93" s="1433"/>
      <c r="C93" s="1432">
        <v>0</v>
      </c>
      <c r="D93" s="1432"/>
      <c r="E93" s="1432"/>
      <c r="F93" s="1432"/>
      <c r="G93" s="1432"/>
      <c r="H93" s="1432"/>
      <c r="I93" s="1432"/>
      <c r="J93" s="1432"/>
      <c r="K93" s="1432"/>
      <c r="L93" s="1432"/>
      <c r="M93" s="1432"/>
      <c r="N93" s="1432"/>
      <c r="O93" s="3130"/>
      <c r="P93" s="1432"/>
      <c r="Q93" s="1432"/>
      <c r="R93" s="1432"/>
      <c r="S93" s="1432"/>
      <c r="T93" s="1432"/>
      <c r="U93" s="1432"/>
      <c r="V93" s="1432"/>
      <c r="W93" s="1432"/>
      <c r="X93" s="1432"/>
      <c r="Y93" s="1432"/>
      <c r="Z93" s="1432"/>
      <c r="AA93" s="2761"/>
      <c r="AB93" s="3130">
        <f t="shared" si="17"/>
        <v>0</v>
      </c>
      <c r="AC93" s="3130"/>
      <c r="AD93" s="3381"/>
      <c r="AE93" s="3130">
        <f>+'Exhibit G State'!AG70</f>
        <v>0</v>
      </c>
      <c r="AF93" s="3132"/>
      <c r="AG93" s="3132"/>
      <c r="AH93" s="3130">
        <f t="shared" si="13"/>
        <v>0</v>
      </c>
      <c r="AI93" s="3088"/>
      <c r="AJ93" s="1716">
        <f>ROUND(IF(AE93=0,0,AH93/ABS(AE93)),3)</f>
        <v>0</v>
      </c>
    </row>
    <row r="94" spans="1:36" ht="15.5">
      <c r="A94" s="2476" t="s">
        <v>957</v>
      </c>
      <c r="B94" s="1433"/>
      <c r="C94" s="1432">
        <f>+'Exhibit F'!D84+'Exhibit G State'!D71</f>
        <v>0.7</v>
      </c>
      <c r="D94" s="1432"/>
      <c r="E94" s="1432"/>
      <c r="F94" s="1432"/>
      <c r="G94" s="1432"/>
      <c r="H94" s="1432"/>
      <c r="I94" s="1432"/>
      <c r="J94" s="1432"/>
      <c r="K94" s="1432"/>
      <c r="L94" s="1432"/>
      <c r="M94" s="1432"/>
      <c r="N94" s="1432"/>
      <c r="O94" s="3130"/>
      <c r="P94" s="1432"/>
      <c r="Q94" s="1432"/>
      <c r="R94" s="1432"/>
      <c r="S94" s="1432"/>
      <c r="T94" s="1432"/>
      <c r="U94" s="1432"/>
      <c r="V94" s="1432"/>
      <c r="W94" s="1432"/>
      <c r="X94" s="1432"/>
      <c r="Y94" s="1432"/>
      <c r="Z94" s="1432"/>
      <c r="AA94" s="2761"/>
      <c r="AB94" s="3130">
        <f t="shared" si="17"/>
        <v>0.7</v>
      </c>
      <c r="AC94" s="3130"/>
      <c r="AD94" s="3381"/>
      <c r="AE94" s="3130">
        <f>+'Exhibit F'!AF84+'Exhibit G State'!AG71</f>
        <v>0.6</v>
      </c>
      <c r="AF94" s="3132"/>
      <c r="AG94" s="3132"/>
      <c r="AH94" s="3130">
        <f t="shared" si="13"/>
        <v>0.1</v>
      </c>
      <c r="AI94" s="3088"/>
      <c r="AJ94" s="1821">
        <f t="shared" ref="AJ94:AJ101" si="18">ROUND(SUM(AH94/ABS(AE94)),3)</f>
        <v>0.16700000000000001</v>
      </c>
    </row>
    <row r="95" spans="1:36" ht="15.5">
      <c r="A95" s="2476" t="s">
        <v>958</v>
      </c>
      <c r="B95" s="1433"/>
      <c r="C95" s="1432">
        <f>+'Exhibit F'!D85+'Exhibit G State'!D72</f>
        <v>4.9000000000000004</v>
      </c>
      <c r="D95" s="1432"/>
      <c r="E95" s="1432"/>
      <c r="F95" s="1432"/>
      <c r="G95" s="1432"/>
      <c r="H95" s="1432"/>
      <c r="I95" s="1432"/>
      <c r="J95" s="1432"/>
      <c r="K95" s="1432"/>
      <c r="L95" s="1432"/>
      <c r="M95" s="1432"/>
      <c r="N95" s="1432"/>
      <c r="O95" s="3130"/>
      <c r="P95" s="1432"/>
      <c r="Q95" s="1432"/>
      <c r="R95" s="1432"/>
      <c r="S95" s="1432"/>
      <c r="T95" s="1432"/>
      <c r="U95" s="1432"/>
      <c r="V95" s="1432"/>
      <c r="W95" s="1432"/>
      <c r="X95" s="1432"/>
      <c r="Y95" s="1432"/>
      <c r="Z95" s="1432"/>
      <c r="AA95" s="2761"/>
      <c r="AB95" s="3130">
        <f t="shared" si="17"/>
        <v>4.9000000000000004</v>
      </c>
      <c r="AC95" s="3130"/>
      <c r="AD95" s="3381"/>
      <c r="AE95" s="3130">
        <f>+'Exhibit F'!AF85+'Exhibit G State'!AG72</f>
        <v>5.5</v>
      </c>
      <c r="AF95" s="3132"/>
      <c r="AG95" s="3132"/>
      <c r="AH95" s="3130">
        <f t="shared" si="13"/>
        <v>-0.6</v>
      </c>
      <c r="AI95" s="3088"/>
      <c r="AJ95" s="1810">
        <f t="shared" si="18"/>
        <v>-0.109</v>
      </c>
    </row>
    <row r="96" spans="1:36" ht="15.5">
      <c r="A96" s="2476" t="s">
        <v>959</v>
      </c>
      <c r="B96" s="1433"/>
      <c r="C96" s="1432">
        <f>+'Exhibit F'!D86+'Exhibit H'!B44+'Exhibit G State'!D73</f>
        <v>295.79999999999995</v>
      </c>
      <c r="D96" s="1432"/>
      <c r="E96" s="1432"/>
      <c r="F96" s="1432"/>
      <c r="G96" s="1432"/>
      <c r="H96" s="1432"/>
      <c r="I96" s="1432"/>
      <c r="J96" s="1432"/>
      <c r="K96" s="1432"/>
      <c r="L96" s="1432"/>
      <c r="M96" s="1432"/>
      <c r="N96" s="1432"/>
      <c r="O96" s="3130"/>
      <c r="P96" s="1432"/>
      <c r="Q96" s="1432"/>
      <c r="R96" s="1432"/>
      <c r="S96" s="1432"/>
      <c r="T96" s="1432"/>
      <c r="U96" s="1432"/>
      <c r="V96" s="1432"/>
      <c r="W96" s="1432"/>
      <c r="X96" s="1432"/>
      <c r="Y96" s="1432"/>
      <c r="Z96" s="1432"/>
      <c r="AA96" s="2761"/>
      <c r="AB96" s="3130">
        <f t="shared" si="17"/>
        <v>295.8</v>
      </c>
      <c r="AC96" s="3130"/>
      <c r="AD96" s="3381"/>
      <c r="AE96" s="3130">
        <f>+'Exhibit F'!AF86+'Exhibit H'!AD44+'Exhibit G State'!AG73</f>
        <v>526.5</v>
      </c>
      <c r="AF96" s="3132"/>
      <c r="AG96" s="3132"/>
      <c r="AH96" s="3130">
        <f t="shared" si="13"/>
        <v>-230.7</v>
      </c>
      <c r="AI96" s="3088"/>
      <c r="AJ96" s="1810">
        <f t="shared" si="18"/>
        <v>-0.438</v>
      </c>
    </row>
    <row r="97" spans="1:45" ht="15.5">
      <c r="A97" s="2476" t="s">
        <v>960</v>
      </c>
      <c r="B97" s="1433"/>
      <c r="C97" s="1432">
        <f>+'Exhibit G State'!D74+'Exhibit F'!D87</f>
        <v>4.7</v>
      </c>
      <c r="D97" s="1432"/>
      <c r="E97" s="1432"/>
      <c r="F97" s="1432"/>
      <c r="G97" s="1432"/>
      <c r="H97" s="1432"/>
      <c r="I97" s="1432"/>
      <c r="J97" s="1432"/>
      <c r="K97" s="1432"/>
      <c r="L97" s="1432"/>
      <c r="M97" s="1432"/>
      <c r="N97" s="1432"/>
      <c r="O97" s="3130"/>
      <c r="P97" s="1432"/>
      <c r="Q97" s="1432"/>
      <c r="R97" s="1432"/>
      <c r="S97" s="1432"/>
      <c r="T97" s="1432"/>
      <c r="U97" s="1432"/>
      <c r="V97" s="1432"/>
      <c r="W97" s="1432"/>
      <c r="X97" s="1432"/>
      <c r="Y97" s="1432"/>
      <c r="Z97" s="1432"/>
      <c r="AA97" s="2761"/>
      <c r="AB97" s="3130">
        <f t="shared" si="17"/>
        <v>4.7</v>
      </c>
      <c r="AC97" s="3130"/>
      <c r="AD97" s="3381"/>
      <c r="AE97" s="3130">
        <f>+'Exhibit G State'!AG74+'Exhibit F'!AF87</f>
        <v>0.1</v>
      </c>
      <c r="AF97" s="3132"/>
      <c r="AG97" s="3132"/>
      <c r="AH97" s="3130">
        <f t="shared" si="13"/>
        <v>4.5999999999999996</v>
      </c>
      <c r="AI97" s="3088"/>
      <c r="AJ97" s="3877">
        <f t="shared" si="18"/>
        <v>46</v>
      </c>
    </row>
    <row r="98" spans="1:45" ht="15.5">
      <c r="A98" s="2476" t="s">
        <v>961</v>
      </c>
      <c r="B98" s="1433"/>
      <c r="C98" s="1432">
        <f>+'Exhibit F'!D88+'Exhibit G State'!D75</f>
        <v>1.2</v>
      </c>
      <c r="D98" s="1432"/>
      <c r="E98" s="1432"/>
      <c r="F98" s="1432"/>
      <c r="G98" s="1432"/>
      <c r="H98" s="1432"/>
      <c r="I98" s="1432"/>
      <c r="J98" s="1432"/>
      <c r="K98" s="1432"/>
      <c r="L98" s="1432"/>
      <c r="M98" s="1432"/>
      <c r="N98" s="1432"/>
      <c r="O98" s="3130"/>
      <c r="P98" s="1432"/>
      <c r="Q98" s="1432"/>
      <c r="R98" s="1432"/>
      <c r="S98" s="1432"/>
      <c r="T98" s="1432"/>
      <c r="U98" s="1432"/>
      <c r="V98" s="1432"/>
      <c r="W98" s="1432"/>
      <c r="X98" s="1432"/>
      <c r="Y98" s="1432"/>
      <c r="Z98" s="1432"/>
      <c r="AA98" s="2761"/>
      <c r="AB98" s="3130">
        <f t="shared" si="17"/>
        <v>1.2</v>
      </c>
      <c r="AC98" s="3130"/>
      <c r="AD98" s="3381"/>
      <c r="AE98" s="3130">
        <f>+'Exhibit F'!AF88+'Exhibit G State'!AG75</f>
        <v>3.9000000000000004</v>
      </c>
      <c r="AF98" s="3132"/>
      <c r="AG98" s="3132"/>
      <c r="AH98" s="3130">
        <f t="shared" si="13"/>
        <v>-2.7</v>
      </c>
      <c r="AI98" s="3088"/>
      <c r="AJ98" s="1821">
        <f t="shared" si="18"/>
        <v>-0.69199999999999995</v>
      </c>
    </row>
    <row r="99" spans="1:45" ht="15.5">
      <c r="A99" s="2476" t="s">
        <v>962</v>
      </c>
      <c r="B99" s="1433"/>
      <c r="C99" s="1432">
        <f>+'Exhibit F'!D89+'Exhibit G State'!D76</f>
        <v>2.4</v>
      </c>
      <c r="D99" s="1432"/>
      <c r="E99" s="1432"/>
      <c r="F99" s="1432"/>
      <c r="G99" s="1432"/>
      <c r="H99" s="1432"/>
      <c r="I99" s="1432"/>
      <c r="J99" s="1432"/>
      <c r="K99" s="1432"/>
      <c r="L99" s="1432"/>
      <c r="M99" s="1432"/>
      <c r="N99" s="1432"/>
      <c r="O99" s="3130"/>
      <c r="P99" s="1432"/>
      <c r="Q99" s="1432"/>
      <c r="R99" s="1432"/>
      <c r="S99" s="1432"/>
      <c r="T99" s="1432"/>
      <c r="U99" s="1432"/>
      <c r="V99" s="1432"/>
      <c r="W99" s="1432"/>
      <c r="X99" s="1432"/>
      <c r="Y99" s="1432"/>
      <c r="Z99" s="1432"/>
      <c r="AA99" s="2761"/>
      <c r="AB99" s="3130">
        <f t="shared" si="17"/>
        <v>2.4</v>
      </c>
      <c r="AC99" s="3130"/>
      <c r="AD99" s="3381"/>
      <c r="AE99" s="3130">
        <f>+'Exhibit F'!AF89+'Exhibit G State'!AG76</f>
        <v>6.1</v>
      </c>
      <c r="AF99" s="3132"/>
      <c r="AG99" s="3132"/>
      <c r="AH99" s="3130">
        <f t="shared" si="13"/>
        <v>-3.7</v>
      </c>
      <c r="AI99" s="3088"/>
      <c r="AJ99" s="1810">
        <f t="shared" si="18"/>
        <v>-0.60699999999999998</v>
      </c>
    </row>
    <row r="100" spans="1:45" ht="15.5">
      <c r="A100" s="2476" t="s">
        <v>963</v>
      </c>
      <c r="B100" s="1433"/>
      <c r="C100" s="1432">
        <f>+'Exhibit F'!D90+'Exhibit G State'!D77+'Exhibit H'!B45</f>
        <v>84.699999999999989</v>
      </c>
      <c r="D100" s="1432"/>
      <c r="E100" s="1432"/>
      <c r="F100" s="1432"/>
      <c r="G100" s="1432"/>
      <c r="H100" s="1432"/>
      <c r="I100" s="1432"/>
      <c r="J100" s="1432"/>
      <c r="K100" s="1432"/>
      <c r="L100" s="1432"/>
      <c r="M100" s="1432"/>
      <c r="N100" s="1432"/>
      <c r="O100" s="3130"/>
      <c r="P100" s="1432"/>
      <c r="Q100" s="1432"/>
      <c r="R100" s="1432"/>
      <c r="S100" s="1432"/>
      <c r="T100" s="1432"/>
      <c r="U100" s="1432"/>
      <c r="V100" s="1432"/>
      <c r="W100" s="1432"/>
      <c r="X100" s="1432"/>
      <c r="Y100" s="1432"/>
      <c r="Z100" s="1432"/>
      <c r="AA100" s="2761"/>
      <c r="AB100" s="3130">
        <f t="shared" si="17"/>
        <v>84.7</v>
      </c>
      <c r="AC100" s="3130"/>
      <c r="AD100" s="3381"/>
      <c r="AE100" s="3130">
        <f>+'Exhibit F'!AF90+'Exhibit G State'!AG77+'Exhibit H'!AD45</f>
        <v>-20.099999999999998</v>
      </c>
      <c r="AF100" s="3132"/>
      <c r="AG100" s="3132"/>
      <c r="AH100" s="3130">
        <f t="shared" si="13"/>
        <v>104.8</v>
      </c>
      <c r="AI100" s="3088"/>
      <c r="AJ100" s="1810">
        <f t="shared" si="18"/>
        <v>5.2140000000000004</v>
      </c>
    </row>
    <row r="101" spans="1:45" ht="15.5">
      <c r="A101" s="2476" t="s">
        <v>964</v>
      </c>
      <c r="B101" s="1433"/>
      <c r="C101" s="1432">
        <f>+'Exhibit F'!D91+'Exhibit G State'!D78+'Exhibit H'!B46</f>
        <v>2.3000000000000003</v>
      </c>
      <c r="D101" s="1432"/>
      <c r="E101" s="1432"/>
      <c r="F101" s="1432"/>
      <c r="G101" s="1432"/>
      <c r="H101" s="1432"/>
      <c r="I101" s="1432"/>
      <c r="J101" s="1432"/>
      <c r="K101" s="1432"/>
      <c r="L101" s="1432"/>
      <c r="M101" s="1432"/>
      <c r="N101" s="1432"/>
      <c r="O101" s="3130"/>
      <c r="P101" s="1432"/>
      <c r="Q101" s="1432"/>
      <c r="R101" s="1432"/>
      <c r="S101" s="1432"/>
      <c r="T101" s="1432"/>
      <c r="U101" s="1432"/>
      <c r="V101" s="1432"/>
      <c r="W101" s="1432"/>
      <c r="X101" s="1432"/>
      <c r="Y101" s="1432"/>
      <c r="Z101" s="1432"/>
      <c r="AA101" s="2761"/>
      <c r="AB101" s="3130">
        <f t="shared" si="17"/>
        <v>2.2999999999999998</v>
      </c>
      <c r="AC101" s="3130"/>
      <c r="AD101" s="3381"/>
      <c r="AE101" s="3130">
        <f>+'Exhibit F'!AF91+'Exhibit G State'!AG78+'Exhibit H'!AD46</f>
        <v>0.5</v>
      </c>
      <c r="AF101" s="3132"/>
      <c r="AG101" s="3132"/>
      <c r="AH101" s="3130">
        <f t="shared" si="13"/>
        <v>1.8</v>
      </c>
      <c r="AI101" s="3088"/>
      <c r="AJ101" s="1810">
        <f t="shared" si="18"/>
        <v>3.6</v>
      </c>
    </row>
    <row r="102" spans="1:45" ht="15.5">
      <c r="A102" s="2476" t="s">
        <v>965</v>
      </c>
      <c r="B102" s="1433"/>
      <c r="C102" s="1432">
        <f>+'Exhibit G State'!D79</f>
        <v>-75.7</v>
      </c>
      <c r="D102" s="1432"/>
      <c r="E102" s="1432"/>
      <c r="F102" s="1432"/>
      <c r="G102" s="1432"/>
      <c r="H102" s="1432"/>
      <c r="I102" s="1432"/>
      <c r="J102" s="1432"/>
      <c r="K102" s="1432"/>
      <c r="L102" s="1432"/>
      <c r="M102" s="1432"/>
      <c r="N102" s="1432"/>
      <c r="O102" s="3130"/>
      <c r="P102" s="1432"/>
      <c r="Q102" s="1432"/>
      <c r="R102" s="1432"/>
      <c r="S102" s="1432"/>
      <c r="T102" s="1432"/>
      <c r="U102" s="1432"/>
      <c r="V102" s="1432"/>
      <c r="W102" s="1432"/>
      <c r="X102" s="1432"/>
      <c r="Y102" s="1432"/>
      <c r="Z102" s="1432"/>
      <c r="AA102" s="2761"/>
      <c r="AB102" s="3130">
        <f t="shared" si="17"/>
        <v>-75.7</v>
      </c>
      <c r="AC102" s="3130"/>
      <c r="AD102" s="3381"/>
      <c r="AE102" s="3130">
        <f>+'Exhibit G State'!AG79</f>
        <v>-67.5</v>
      </c>
      <c r="AF102" s="3132"/>
      <c r="AG102" s="3132"/>
      <c r="AH102" s="3130">
        <f t="shared" si="13"/>
        <v>-8.1999999999999993</v>
      </c>
      <c r="AI102" s="3088"/>
      <c r="AJ102" s="1810">
        <f>ROUND(SUM(AH102/ABS(AE102)),3)</f>
        <v>-0.121</v>
      </c>
    </row>
    <row r="103" spans="1:45" ht="15.5">
      <c r="A103" s="2464" t="s">
        <v>999</v>
      </c>
      <c r="B103" s="2419"/>
      <c r="C103" s="2034">
        <f>ROUND(SUM(C62:C102),1)</f>
        <v>1534.9</v>
      </c>
      <c r="D103" s="2480"/>
      <c r="E103" s="2034">
        <f>ROUND(SUM(E62:E102),1)</f>
        <v>0</v>
      </c>
      <c r="F103" s="2480"/>
      <c r="G103" s="2034">
        <f>ROUND(SUM(G62:G102),1)</f>
        <v>0</v>
      </c>
      <c r="H103" s="1454"/>
      <c r="I103" s="2034">
        <f>ROUND(SUM(I62:I102),1)</f>
        <v>0</v>
      </c>
      <c r="J103" s="1454"/>
      <c r="K103" s="2034">
        <f>ROUND(SUM(K62:K102),1)</f>
        <v>0</v>
      </c>
      <c r="L103" s="1454"/>
      <c r="M103" s="2034">
        <f>ROUND(SUM(M62:M102),1)</f>
        <v>0</v>
      </c>
      <c r="N103" s="1454"/>
      <c r="O103" s="1453">
        <f>ROUND(SUM(O62:O102),1)</f>
        <v>0</v>
      </c>
      <c r="P103" s="1454"/>
      <c r="Q103" s="2034">
        <f>ROUND(SUM(Q62:Q102),1)</f>
        <v>0</v>
      </c>
      <c r="R103" s="1454"/>
      <c r="S103" s="2034">
        <f>ROUND(SUM(S62:S102),1)</f>
        <v>0</v>
      </c>
      <c r="T103" s="1454"/>
      <c r="U103" s="2034">
        <f>ROUND(SUM(U62:U102),1)</f>
        <v>0</v>
      </c>
      <c r="V103" s="1454"/>
      <c r="W103" s="2034">
        <f>ROUND(SUM(W62:W102),1)</f>
        <v>0</v>
      </c>
      <c r="X103" s="2002"/>
      <c r="Y103" s="2034">
        <f>ROUND(SUM(Y62:Y102),1)</f>
        <v>0</v>
      </c>
      <c r="Z103" s="2002"/>
      <c r="AA103" s="2037"/>
      <c r="AB103" s="1453">
        <f>ROUND(SUM(AB62:AB102),1)</f>
        <v>1534.9</v>
      </c>
      <c r="AC103" s="2042"/>
      <c r="AD103" s="2544"/>
      <c r="AE103" s="1453">
        <f>ROUND(SUM(AE62:AE102),1)</f>
        <v>1431.2</v>
      </c>
      <c r="AF103" s="1455"/>
      <c r="AG103" s="3346"/>
      <c r="AH103" s="1453">
        <f>ROUND(SUM(AH62:AH102),1)</f>
        <v>103.7</v>
      </c>
      <c r="AI103" s="1455"/>
      <c r="AJ103" s="1812">
        <f>ROUND(SUM(+AH103/ABS(AE103)),3)</f>
        <v>7.1999999999999995E-2</v>
      </c>
    </row>
    <row r="104" spans="1:45" ht="15.5">
      <c r="A104" s="1433"/>
      <c r="B104" s="1433"/>
      <c r="C104" s="1432"/>
      <c r="D104" s="1432"/>
      <c r="E104" s="1432"/>
      <c r="F104" s="1432"/>
      <c r="G104" s="1432"/>
      <c r="H104" s="1432"/>
      <c r="I104" s="1432"/>
      <c r="J104" s="1432"/>
      <c r="K104" s="1432"/>
      <c r="L104" s="1432"/>
      <c r="M104" s="1432"/>
      <c r="N104" s="1432"/>
      <c r="O104" s="3130"/>
      <c r="P104" s="1432"/>
      <c r="Q104" s="1432"/>
      <c r="R104" s="1432"/>
      <c r="S104" s="1432"/>
      <c r="T104" s="1432"/>
      <c r="U104" s="1432"/>
      <c r="V104" s="1432"/>
      <c r="W104" s="1432"/>
      <c r="X104" s="1432"/>
      <c r="Y104" s="1432"/>
      <c r="Z104" s="1432"/>
      <c r="AA104" s="2760"/>
      <c r="AB104" s="3130"/>
      <c r="AC104" s="3132"/>
      <c r="AD104" s="3383"/>
      <c r="AE104" s="3130"/>
      <c r="AF104" s="3132"/>
      <c r="AG104" s="3132"/>
      <c r="AH104" s="3130"/>
      <c r="AI104" s="3088"/>
      <c r="AJ104" s="1810"/>
    </row>
    <row r="105" spans="1:45" ht="15.5">
      <c r="A105" s="1433" t="s">
        <v>20</v>
      </c>
      <c r="B105" s="1433"/>
      <c r="C105" s="2762">
        <f>+'Exhibit F'!D94+'Exhibit G State'!D82+'Exhibit H'!B49</f>
        <v>0.2</v>
      </c>
      <c r="D105" s="1432"/>
      <c r="E105" s="2762"/>
      <c r="F105" s="1432"/>
      <c r="G105" s="2762"/>
      <c r="H105" s="1432"/>
      <c r="I105" s="2762"/>
      <c r="J105" s="1432"/>
      <c r="K105" s="2762"/>
      <c r="L105" s="1432"/>
      <c r="M105" s="2762"/>
      <c r="N105" s="1432"/>
      <c r="O105" s="3133"/>
      <c r="P105" s="1432"/>
      <c r="Q105" s="2762"/>
      <c r="R105" s="1432"/>
      <c r="S105" s="2762"/>
      <c r="T105" s="1432"/>
      <c r="U105" s="2762"/>
      <c r="V105" s="1432"/>
      <c r="W105" s="2762"/>
      <c r="X105" s="1432"/>
      <c r="Y105" s="2762"/>
      <c r="Z105" s="1432"/>
      <c r="AA105" s="2761"/>
      <c r="AB105" s="3133">
        <f>ROUND(SUM(C105:Y105),1)</f>
        <v>0.2</v>
      </c>
      <c r="AC105" s="3130"/>
      <c r="AD105" s="3381"/>
      <c r="AE105" s="3133">
        <f>'Exhibit F'!AF94+'Exhibit G State'!AG82+'Exhibit H'!AD49</f>
        <v>0</v>
      </c>
      <c r="AF105" s="3132"/>
      <c r="AG105" s="3132"/>
      <c r="AH105" s="3133">
        <f>ROUND(SUM(AB105-AE105),1)</f>
        <v>0.2</v>
      </c>
      <c r="AI105" s="3088"/>
      <c r="AJ105" s="3347">
        <f>ROUND(IF(AE105=0,1,AH105/ABS(AE105)),3)</f>
        <v>1</v>
      </c>
    </row>
    <row r="106" spans="1:45" ht="15.5">
      <c r="A106" s="1433"/>
      <c r="B106" s="1433"/>
      <c r="C106" s="1432"/>
      <c r="D106" s="1432"/>
      <c r="E106" s="1432"/>
      <c r="F106" s="1432"/>
      <c r="G106" s="1432"/>
      <c r="H106" s="1432"/>
      <c r="I106" s="1432"/>
      <c r="J106" s="1432"/>
      <c r="K106" s="1432"/>
      <c r="L106" s="1432"/>
      <c r="M106" s="1432"/>
      <c r="N106" s="1432"/>
      <c r="O106" s="3130"/>
      <c r="P106" s="1432"/>
      <c r="Q106" s="1432"/>
      <c r="R106" s="1432"/>
      <c r="S106" s="1432"/>
      <c r="T106" s="1432"/>
      <c r="U106" s="1432"/>
      <c r="V106" s="1432"/>
      <c r="W106" s="1432"/>
      <c r="X106" s="1432"/>
      <c r="Y106" s="1432"/>
      <c r="Z106" s="1432"/>
      <c r="AA106" s="2761"/>
      <c r="AB106" s="3130"/>
      <c r="AC106" s="3130"/>
      <c r="AD106" s="3381"/>
      <c r="AE106" s="3130"/>
      <c r="AF106" s="3132"/>
      <c r="AG106" s="3132"/>
      <c r="AH106" s="3130"/>
      <c r="AI106" s="3088"/>
      <c r="AJ106" s="3348"/>
    </row>
    <row r="107" spans="1:45" ht="15.5">
      <c r="A107" s="2418" t="s">
        <v>149</v>
      </c>
      <c r="B107" s="2014"/>
      <c r="C107" s="2012">
        <f>ROUND(SUM(C105+C103+C58),1)</f>
        <v>10642.3</v>
      </c>
      <c r="D107" s="1454"/>
      <c r="E107" s="2012">
        <f>ROUND(SUM(E105+E103+E58),1)</f>
        <v>0</v>
      </c>
      <c r="F107" s="1454"/>
      <c r="G107" s="2012">
        <f>ROUND(SUM(G105+G103+G58),1)</f>
        <v>0</v>
      </c>
      <c r="H107" s="1454"/>
      <c r="I107" s="2012">
        <f>ROUND(SUM(I105+I103+I58),1)</f>
        <v>0</v>
      </c>
      <c r="J107" s="1454"/>
      <c r="K107" s="2012">
        <f>ROUND(SUM(K105+K103+K58),1)</f>
        <v>0</v>
      </c>
      <c r="L107" s="1454"/>
      <c r="M107" s="2012">
        <f>ROUND(SUM(M105+M103+M58),1)</f>
        <v>0</v>
      </c>
      <c r="N107" s="1454"/>
      <c r="O107" s="1552">
        <f>ROUND(SUM(O105+O103+O58),1)</f>
        <v>0</v>
      </c>
      <c r="P107" s="1454"/>
      <c r="Q107" s="2012">
        <f>ROUND(SUM(Q105+Q103+Q58),1)</f>
        <v>0</v>
      </c>
      <c r="R107" s="1454"/>
      <c r="S107" s="2012">
        <f>ROUND(SUM(S105+S103+S58),1)</f>
        <v>0</v>
      </c>
      <c r="T107" s="1454"/>
      <c r="U107" s="2012">
        <f>ROUND(SUM(U105+U103+U58),1)</f>
        <v>0</v>
      </c>
      <c r="V107" s="1454"/>
      <c r="W107" s="2012">
        <f>ROUND(SUM(W105+W103+W58),1)</f>
        <v>0</v>
      </c>
      <c r="X107" s="2002"/>
      <c r="Y107" s="2012">
        <f>ROUND(SUM(Y105+Y103+Y58),1)</f>
        <v>0</v>
      </c>
      <c r="Z107" s="2763"/>
      <c r="AA107" s="2427"/>
      <c r="AB107" s="1552">
        <f>ROUND(SUM(AB105+AB103+AB58),1)</f>
        <v>10642.3</v>
      </c>
      <c r="AC107" s="2042"/>
      <c r="AD107" s="2544"/>
      <c r="AE107" s="1552">
        <f>ROUND(SUM(AE105+AE103+AE58),1)</f>
        <v>5015.1000000000004</v>
      </c>
      <c r="AF107" s="1455"/>
      <c r="AG107" s="3346"/>
      <c r="AH107" s="1552">
        <f>ROUND(SUM(AH105+AH103+AH58),1)</f>
        <v>5627.2</v>
      </c>
      <c r="AI107" s="1455"/>
      <c r="AJ107" s="3345">
        <f>ROUND(SUM(+AH107/ABS(AE107)),3)</f>
        <v>1.1220000000000001</v>
      </c>
      <c r="AK107" s="2755"/>
      <c r="AL107" s="2755"/>
      <c r="AM107" s="2755"/>
      <c r="AN107" s="2755"/>
      <c r="AO107" s="2755"/>
      <c r="AP107" s="2755"/>
      <c r="AQ107" s="2755"/>
      <c r="AR107" s="2755"/>
      <c r="AS107" s="2755"/>
    </row>
    <row r="108" spans="1:45" ht="15.5">
      <c r="A108" s="2002"/>
      <c r="B108" s="1433"/>
      <c r="C108" s="2764"/>
      <c r="D108" s="1432"/>
      <c r="E108" s="2764"/>
      <c r="F108" s="1432"/>
      <c r="G108" s="2764"/>
      <c r="H108" s="1432"/>
      <c r="I108" s="2764"/>
      <c r="J108" s="1432"/>
      <c r="K108" s="2764"/>
      <c r="L108" s="1432"/>
      <c r="M108" s="2764"/>
      <c r="N108" s="1432"/>
      <c r="O108" s="2550"/>
      <c r="P108" s="1432"/>
      <c r="Q108" s="2764"/>
      <c r="R108" s="1432"/>
      <c r="S108" s="2764"/>
      <c r="T108" s="1432"/>
      <c r="U108" s="2764"/>
      <c r="V108" s="1432"/>
      <c r="W108" s="2764"/>
      <c r="X108" s="1432"/>
      <c r="Y108" s="2764"/>
      <c r="Z108" s="1432"/>
      <c r="AA108" s="2761"/>
      <c r="AB108" s="2550"/>
      <c r="AC108" s="3130"/>
      <c r="AD108" s="3381"/>
      <c r="AE108" s="2550"/>
      <c r="AF108" s="3132"/>
      <c r="AG108" s="3132"/>
      <c r="AH108" s="1992"/>
      <c r="AI108" s="3088"/>
      <c r="AJ108" s="3343"/>
    </row>
    <row r="109" spans="1:45" ht="15.5">
      <c r="A109" s="2002" t="s">
        <v>22</v>
      </c>
      <c r="B109" s="1433"/>
      <c r="C109" s="2759"/>
      <c r="D109" s="1432"/>
      <c r="E109" s="2759"/>
      <c r="F109" s="1432"/>
      <c r="G109" s="2759"/>
      <c r="H109" s="1432"/>
      <c r="I109" s="2759"/>
      <c r="J109" s="1432"/>
      <c r="K109" s="2759"/>
      <c r="L109" s="1432"/>
      <c r="M109" s="2759"/>
      <c r="N109" s="1432"/>
      <c r="O109" s="3132"/>
      <c r="P109" s="1432"/>
      <c r="Q109" s="2759"/>
      <c r="R109" s="1432"/>
      <c r="S109" s="2759"/>
      <c r="T109" s="1432"/>
      <c r="U109" s="2759"/>
      <c r="V109" s="1432"/>
      <c r="W109" s="2759"/>
      <c r="X109" s="1432"/>
      <c r="Y109" s="2759"/>
      <c r="Z109" s="1432"/>
      <c r="AA109" s="2761"/>
      <c r="AB109" s="3132"/>
      <c r="AC109" s="3130"/>
      <c r="AD109" s="3381"/>
      <c r="AE109" s="3132"/>
      <c r="AF109" s="3132"/>
      <c r="AG109" s="3132"/>
      <c r="AH109" s="1992"/>
      <c r="AI109" s="3088"/>
      <c r="AJ109" s="3343"/>
    </row>
    <row r="110" spans="1:45" ht="15.5">
      <c r="A110" s="1433" t="s">
        <v>136</v>
      </c>
      <c r="B110" s="1433"/>
      <c r="C110" s="1432"/>
      <c r="D110" s="1432"/>
      <c r="E110" s="1432"/>
      <c r="F110" s="1432"/>
      <c r="G110" s="1432"/>
      <c r="H110" s="1432"/>
      <c r="I110" s="1432"/>
      <c r="J110" s="1432"/>
      <c r="K110" s="1432"/>
      <c r="L110" s="1432"/>
      <c r="M110" s="1432"/>
      <c r="N110" s="1432"/>
      <c r="O110" s="3130"/>
      <c r="P110" s="1432"/>
      <c r="Q110" s="1432"/>
      <c r="R110" s="1432"/>
      <c r="S110" s="1432"/>
      <c r="T110" s="1432"/>
      <c r="U110" s="1432"/>
      <c r="V110" s="1432"/>
      <c r="W110" s="1432"/>
      <c r="X110" s="1432"/>
      <c r="Y110" s="1432"/>
      <c r="Z110" s="1432"/>
      <c r="AA110" s="2761"/>
      <c r="AB110" s="3130"/>
      <c r="AC110" s="3130"/>
      <c r="AD110" s="3381"/>
      <c r="AE110" s="1992"/>
      <c r="AF110" s="3132"/>
      <c r="AG110" s="3132"/>
      <c r="AH110" s="3130"/>
      <c r="AI110" s="3088"/>
      <c r="AJ110" s="1810"/>
    </row>
    <row r="111" spans="1:45" ht="15.5">
      <c r="A111" s="2765" t="s">
        <v>24</v>
      </c>
      <c r="B111" s="1433"/>
      <c r="C111" s="1432">
        <f>+'Exhibit F'!D100+'Exhibit G State'!D88</f>
        <v>524.29999999999995</v>
      </c>
      <c r="D111" s="1432"/>
      <c r="E111" s="1432"/>
      <c r="F111" s="1432"/>
      <c r="G111" s="1432"/>
      <c r="H111" s="1432"/>
      <c r="I111" s="1432"/>
      <c r="J111" s="1432"/>
      <c r="K111" s="1432"/>
      <c r="L111" s="1432"/>
      <c r="M111" s="1432"/>
      <c r="N111" s="1432"/>
      <c r="O111" s="3130"/>
      <c r="P111" s="1432"/>
      <c r="Q111" s="1432"/>
      <c r="R111" s="1432"/>
      <c r="S111" s="1432"/>
      <c r="T111" s="1432"/>
      <c r="U111" s="1432"/>
      <c r="V111" s="1432"/>
      <c r="W111" s="1432"/>
      <c r="X111" s="1432"/>
      <c r="Y111" s="1432"/>
      <c r="Z111" s="1432"/>
      <c r="AA111" s="2761"/>
      <c r="AB111" s="1992">
        <f>ROUND(SUM(C111:Y111),1)</f>
        <v>524.29999999999995</v>
      </c>
      <c r="AC111" s="3130"/>
      <c r="AD111" s="3381"/>
      <c r="AE111" s="1992">
        <f>+'Exhibit F'!AF100+'Exhibit G State'!AG88</f>
        <v>754.30000000000007</v>
      </c>
      <c r="AF111" s="3132"/>
      <c r="AG111" s="3132"/>
      <c r="AH111" s="3130">
        <f>ROUND(SUM(AB111-AE111),1)</f>
        <v>-230</v>
      </c>
      <c r="AI111" s="3088"/>
      <c r="AJ111" s="1810">
        <f>ROUND(SUM(AH111/ABS(AE111)),3)</f>
        <v>-0.30499999999999999</v>
      </c>
    </row>
    <row r="112" spans="1:45" ht="15.5">
      <c r="A112" s="2765" t="s">
        <v>25</v>
      </c>
      <c r="B112" s="1433"/>
      <c r="C112" s="1432">
        <f>+'Exhibit F'!D101+'Exhibit G State'!D89</f>
        <v>0.1</v>
      </c>
      <c r="D112" s="1432"/>
      <c r="E112" s="1432"/>
      <c r="F112" s="1432"/>
      <c r="G112" s="1432"/>
      <c r="H112" s="1432"/>
      <c r="I112" s="1432"/>
      <c r="J112" s="1432"/>
      <c r="K112" s="1432"/>
      <c r="L112" s="1432"/>
      <c r="M112" s="1432"/>
      <c r="N112" s="1432"/>
      <c r="O112" s="3130"/>
      <c r="P112" s="1432"/>
      <c r="Q112" s="1432"/>
      <c r="R112" s="1432"/>
      <c r="S112" s="1432"/>
      <c r="T112" s="1432"/>
      <c r="U112" s="1432"/>
      <c r="V112" s="1432"/>
      <c r="W112" s="1432"/>
      <c r="X112" s="1432"/>
      <c r="Y112" s="1432"/>
      <c r="Z112" s="1432"/>
      <c r="AA112" s="2761"/>
      <c r="AB112" s="1992">
        <f t="shared" ref="AB112:AB119" si="19">ROUND(SUM(C112:Y112),1)</f>
        <v>0.1</v>
      </c>
      <c r="AC112" s="3130"/>
      <c r="AD112" s="3381"/>
      <c r="AE112" s="1992">
        <f>+'Exhibit F'!AF101+'Exhibit G State'!AG89</f>
        <v>0.1</v>
      </c>
      <c r="AF112" s="3132"/>
      <c r="AG112" s="3132"/>
      <c r="AH112" s="3130">
        <f t="shared" ref="AH112:AH119" si="20">ROUND(SUM(AB112-AE112),1)</f>
        <v>0</v>
      </c>
      <c r="AI112" s="3088"/>
      <c r="AJ112" s="1810">
        <f>ROUND(IF(AE112=0,1,AH112/ABS(AE112)),3)</f>
        <v>0</v>
      </c>
    </row>
    <row r="113" spans="1:38" ht="15.5">
      <c r="A113" s="2765" t="s">
        <v>26</v>
      </c>
      <c r="B113" s="1433"/>
      <c r="C113" s="1432">
        <f>+'Exhibit F'!D102+'Exhibit G State'!D90</f>
        <v>13</v>
      </c>
      <c r="D113" s="1432"/>
      <c r="E113" s="1432"/>
      <c r="F113" s="1432"/>
      <c r="G113" s="1432"/>
      <c r="H113" s="1432"/>
      <c r="I113" s="1432"/>
      <c r="J113" s="1432"/>
      <c r="K113" s="1432"/>
      <c r="L113" s="1432"/>
      <c r="M113" s="1432"/>
      <c r="N113" s="1432"/>
      <c r="O113" s="3130"/>
      <c r="P113" s="1432"/>
      <c r="Q113" s="1432"/>
      <c r="R113" s="1432"/>
      <c r="S113" s="1432"/>
      <c r="T113" s="1432"/>
      <c r="U113" s="1432"/>
      <c r="V113" s="1432"/>
      <c r="W113" s="1432"/>
      <c r="X113" s="1432"/>
      <c r="Y113" s="1432"/>
      <c r="Z113" s="1432"/>
      <c r="AA113" s="2761"/>
      <c r="AB113" s="1992">
        <f t="shared" si="19"/>
        <v>13</v>
      </c>
      <c r="AC113" s="3130"/>
      <c r="AD113" s="3381"/>
      <c r="AE113" s="1992">
        <f>+'Exhibit F'!AF102+'Exhibit G State'!AG90</f>
        <v>16.100000000000001</v>
      </c>
      <c r="AF113" s="3132"/>
      <c r="AG113" s="3132"/>
      <c r="AH113" s="3130">
        <f t="shared" si="20"/>
        <v>-3.1</v>
      </c>
      <c r="AI113" s="3088"/>
      <c r="AJ113" s="1810">
        <f>ROUND(SUM(AH113/ABS(AE113)),3)</f>
        <v>-0.193</v>
      </c>
    </row>
    <row r="114" spans="1:38" ht="15.5">
      <c r="A114" s="2765" t="s">
        <v>27</v>
      </c>
      <c r="B114" s="1433"/>
      <c r="C114" s="1432"/>
      <c r="D114" s="1432"/>
      <c r="E114" s="1432"/>
      <c r="F114" s="1432"/>
      <c r="G114" s="1432"/>
      <c r="H114" s="1432"/>
      <c r="I114" s="1432"/>
      <c r="J114" s="1432"/>
      <c r="K114" s="1432"/>
      <c r="L114" s="1432"/>
      <c r="M114" s="1432"/>
      <c r="N114" s="1432"/>
      <c r="O114" s="3130"/>
      <c r="P114" s="1432"/>
      <c r="Q114" s="1432"/>
      <c r="R114" s="1432"/>
      <c r="S114" s="1432"/>
      <c r="T114" s="1432"/>
      <c r="U114" s="1432"/>
      <c r="V114" s="1432"/>
      <c r="W114" s="1432"/>
      <c r="X114" s="1432"/>
      <c r="Y114" s="1432"/>
      <c r="Z114" s="1432"/>
      <c r="AA114" s="2761"/>
      <c r="AB114" s="1992"/>
      <c r="AC114" s="3130"/>
      <c r="AD114" s="3381"/>
      <c r="AE114" s="2599"/>
      <c r="AF114" s="3132"/>
      <c r="AG114" s="3132"/>
      <c r="AH114" s="3130" t="s">
        <v>14</v>
      </c>
      <c r="AI114" s="3088"/>
      <c r="AJ114" s="1810"/>
    </row>
    <row r="115" spans="1:38" ht="15.5">
      <c r="A115" s="2766" t="s">
        <v>28</v>
      </c>
      <c r="B115" s="1433"/>
      <c r="C115" s="1432">
        <f>+'Exhibit F'!D104+'Exhibit G State'!D92</f>
        <v>3127.9</v>
      </c>
      <c r="D115" s="1432"/>
      <c r="E115" s="1432"/>
      <c r="F115" s="1432"/>
      <c r="G115" s="1432"/>
      <c r="H115" s="1432"/>
      <c r="I115" s="1432"/>
      <c r="J115" s="1432"/>
      <c r="K115" s="1432"/>
      <c r="L115" s="1432"/>
      <c r="M115" s="1432"/>
      <c r="N115" s="1432"/>
      <c r="O115" s="3130"/>
      <c r="P115" s="1432"/>
      <c r="Q115" s="1432"/>
      <c r="R115" s="1432"/>
      <c r="S115" s="1432"/>
      <c r="T115" s="1432"/>
      <c r="U115" s="1432"/>
      <c r="V115" s="1432"/>
      <c r="W115" s="1432"/>
      <c r="X115" s="1432"/>
      <c r="Y115" s="1432"/>
      <c r="Z115" s="1432"/>
      <c r="AA115" s="2761"/>
      <c r="AB115" s="1992">
        <f t="shared" si="19"/>
        <v>3127.9</v>
      </c>
      <c r="AC115" s="3130"/>
      <c r="AD115" s="3381"/>
      <c r="AE115" s="1992">
        <f>+'Exhibit F'!AF104+'Exhibit G State'!AG92</f>
        <v>757.69999999999993</v>
      </c>
      <c r="AF115" s="3132"/>
      <c r="AG115" s="3132"/>
      <c r="AH115" s="3130">
        <f t="shared" si="20"/>
        <v>2370.1999999999998</v>
      </c>
      <c r="AI115" s="3088"/>
      <c r="AJ115" s="1810">
        <f t="shared" ref="AJ115:AJ121" si="21">ROUND(SUM(AH115/ABS(AE115)),3)</f>
        <v>3.1280000000000001</v>
      </c>
      <c r="AK115" s="2767"/>
    </row>
    <row r="116" spans="1:38" ht="15.5">
      <c r="A116" s="2765" t="s">
        <v>29</v>
      </c>
      <c r="B116" s="1433"/>
      <c r="C116" s="1432">
        <f>+'Exhibit F'!D105+'Exhibit G State'!D93</f>
        <v>85.199999999999989</v>
      </c>
      <c r="D116" s="1432"/>
      <c r="E116" s="1432"/>
      <c r="F116" s="1432"/>
      <c r="G116" s="1432"/>
      <c r="H116" s="1432"/>
      <c r="I116" s="1432"/>
      <c r="J116" s="1432"/>
      <c r="K116" s="1432"/>
      <c r="L116" s="1432"/>
      <c r="M116" s="1432"/>
      <c r="N116" s="1432"/>
      <c r="O116" s="3130"/>
      <c r="P116" s="1432"/>
      <c r="Q116" s="1432"/>
      <c r="R116" s="1432"/>
      <c r="S116" s="1432"/>
      <c r="T116" s="1432"/>
      <c r="U116" s="1432"/>
      <c r="V116" s="1432"/>
      <c r="W116" s="1432"/>
      <c r="X116" s="1432"/>
      <c r="Y116" s="1432"/>
      <c r="Z116" s="1432"/>
      <c r="AA116" s="2761"/>
      <c r="AB116" s="1992">
        <f t="shared" si="19"/>
        <v>85.2</v>
      </c>
      <c r="AC116" s="3384"/>
      <c r="AD116" s="3130"/>
      <c r="AE116" s="1992">
        <f>+'Exhibit F'!AF105+'Exhibit G State'!AG93</f>
        <v>93.5</v>
      </c>
      <c r="AF116" s="3132"/>
      <c r="AG116" s="3132"/>
      <c r="AH116" s="3130">
        <f t="shared" si="20"/>
        <v>-8.3000000000000007</v>
      </c>
      <c r="AI116" s="3088"/>
      <c r="AJ116" s="1810">
        <f t="shared" si="21"/>
        <v>-8.8999999999999996E-2</v>
      </c>
    </row>
    <row r="117" spans="1:38" ht="15.5">
      <c r="A117" s="2765" t="s">
        <v>30</v>
      </c>
      <c r="B117" s="1433"/>
      <c r="C117" s="1432">
        <f>+'Exhibit F'!D106+'Exhibit G State'!D94</f>
        <v>23.8</v>
      </c>
      <c r="D117" s="1432"/>
      <c r="E117" s="1432"/>
      <c r="F117" s="1432"/>
      <c r="G117" s="1432"/>
      <c r="H117" s="1432"/>
      <c r="I117" s="1432"/>
      <c r="J117" s="1432"/>
      <c r="K117" s="1432"/>
      <c r="L117" s="1432"/>
      <c r="M117" s="1432"/>
      <c r="N117" s="1432"/>
      <c r="O117" s="3130"/>
      <c r="P117" s="1432"/>
      <c r="Q117" s="1432"/>
      <c r="R117" s="1432"/>
      <c r="S117" s="1432"/>
      <c r="T117" s="1432"/>
      <c r="U117" s="1432"/>
      <c r="V117" s="1432"/>
      <c r="W117" s="1432"/>
      <c r="X117" s="1432"/>
      <c r="Y117" s="1432"/>
      <c r="Z117" s="1432"/>
      <c r="AA117" s="2761"/>
      <c r="AB117" s="1992">
        <f t="shared" si="19"/>
        <v>23.8</v>
      </c>
      <c r="AC117" s="3385"/>
      <c r="AD117" s="3381"/>
      <c r="AE117" s="1992">
        <f>+'Exhibit F'!AF106+'Exhibit G State'!AG94</f>
        <v>20.9</v>
      </c>
      <c r="AF117" s="3132"/>
      <c r="AG117" s="3132"/>
      <c r="AH117" s="3130">
        <f t="shared" si="20"/>
        <v>2.9</v>
      </c>
      <c r="AI117" s="3088"/>
      <c r="AJ117" s="1810">
        <f t="shared" si="21"/>
        <v>0.13900000000000001</v>
      </c>
    </row>
    <row r="118" spans="1:38" ht="15.5">
      <c r="A118" s="2765" t="s">
        <v>31</v>
      </c>
      <c r="B118" s="1433"/>
      <c r="C118" s="1432">
        <f>+'Exhibit F'!D107+'Exhibit G State'!D95</f>
        <v>43.5</v>
      </c>
      <c r="D118" s="1432"/>
      <c r="E118" s="1432"/>
      <c r="F118" s="1432"/>
      <c r="G118" s="1432"/>
      <c r="H118" s="1432"/>
      <c r="I118" s="1432"/>
      <c r="J118" s="1432"/>
      <c r="K118" s="1432"/>
      <c r="L118" s="1432"/>
      <c r="M118" s="1432"/>
      <c r="N118" s="1432"/>
      <c r="O118" s="3130"/>
      <c r="P118" s="1432"/>
      <c r="Q118" s="1432"/>
      <c r="R118" s="1432"/>
      <c r="S118" s="1432"/>
      <c r="T118" s="1432"/>
      <c r="U118" s="1432"/>
      <c r="V118" s="1432"/>
      <c r="W118" s="1432"/>
      <c r="X118" s="1432"/>
      <c r="Y118" s="1432"/>
      <c r="Z118" s="1432"/>
      <c r="AA118" s="2761"/>
      <c r="AB118" s="1992">
        <f t="shared" si="19"/>
        <v>43.5</v>
      </c>
      <c r="AC118" s="3385"/>
      <c r="AD118" s="3381"/>
      <c r="AE118" s="1992">
        <f>+'Exhibit F'!AF107+'Exhibit G State'!AG95</f>
        <v>77</v>
      </c>
      <c r="AF118" s="3132"/>
      <c r="AG118" s="3132"/>
      <c r="AH118" s="3130">
        <f t="shared" si="20"/>
        <v>-33.5</v>
      </c>
      <c r="AI118" s="3088"/>
      <c r="AJ118" s="1810">
        <f t="shared" si="21"/>
        <v>-0.435</v>
      </c>
    </row>
    <row r="119" spans="1:38" ht="15.5">
      <c r="A119" s="2765" t="s">
        <v>32</v>
      </c>
      <c r="B119" s="1433"/>
      <c r="C119" s="1432">
        <f>+'Exhibit F'!D108+'Exhibit G State'!D96</f>
        <v>5.3</v>
      </c>
      <c r="D119" s="1432"/>
      <c r="E119" s="1432"/>
      <c r="F119" s="1432"/>
      <c r="G119" s="1432"/>
      <c r="H119" s="1432"/>
      <c r="I119" s="1432"/>
      <c r="J119" s="1432"/>
      <c r="K119" s="1432"/>
      <c r="L119" s="1432"/>
      <c r="M119" s="1432"/>
      <c r="N119" s="1432"/>
      <c r="O119" s="3130"/>
      <c r="P119" s="1432"/>
      <c r="Q119" s="1432"/>
      <c r="R119" s="1432"/>
      <c r="S119" s="1432"/>
      <c r="T119" s="1432"/>
      <c r="U119" s="1432"/>
      <c r="V119" s="1432"/>
      <c r="W119" s="1432"/>
      <c r="X119" s="1432"/>
      <c r="Y119" s="1432"/>
      <c r="Z119" s="1432"/>
      <c r="AA119" s="2761"/>
      <c r="AB119" s="1992">
        <f t="shared" si="19"/>
        <v>5.3</v>
      </c>
      <c r="AC119" s="3385"/>
      <c r="AD119" s="3381"/>
      <c r="AE119" s="1992">
        <f>+'Exhibit F'!AF108+'Exhibit G State'!AG96</f>
        <v>4.6000000000000005</v>
      </c>
      <c r="AF119" s="3132"/>
      <c r="AG119" s="3132"/>
      <c r="AH119" s="3130">
        <f t="shared" si="20"/>
        <v>0.7</v>
      </c>
      <c r="AI119" s="3088"/>
      <c r="AJ119" s="1810">
        <f t="shared" si="21"/>
        <v>0.152</v>
      </c>
    </row>
    <row r="120" spans="1:38" ht="15.5">
      <c r="A120" s="2765" t="s">
        <v>33</v>
      </c>
      <c r="B120" s="1433"/>
      <c r="C120" s="1432">
        <f>+'Exhibit F'!D109+'Exhibit G State'!D97</f>
        <v>208.5</v>
      </c>
      <c r="D120" s="1432"/>
      <c r="E120" s="1432"/>
      <c r="F120" s="1432"/>
      <c r="G120" s="1432"/>
      <c r="H120" s="1432"/>
      <c r="I120" s="1432"/>
      <c r="J120" s="1432"/>
      <c r="K120" s="1432"/>
      <c r="L120" s="1432"/>
      <c r="M120" s="1432"/>
      <c r="N120" s="1432"/>
      <c r="O120" s="3130"/>
      <c r="P120" s="1432"/>
      <c r="Q120" s="1432"/>
      <c r="R120" s="1432"/>
      <c r="S120" s="1432"/>
      <c r="T120" s="1432"/>
      <c r="U120" s="1432"/>
      <c r="V120" s="1432"/>
      <c r="W120" s="1432"/>
      <c r="X120" s="1432"/>
      <c r="Y120" s="1432"/>
      <c r="Z120" s="1432"/>
      <c r="AA120" s="2761"/>
      <c r="AB120" s="3130">
        <f>ROUND(SUM(C120:Y120),1)</f>
        <v>208.5</v>
      </c>
      <c r="AC120" s="3385"/>
      <c r="AD120" s="3381"/>
      <c r="AE120" s="1992">
        <f>+'Exhibit F'!AF109+'Exhibit G State'!AG97</f>
        <v>61.7</v>
      </c>
      <c r="AF120" s="3132"/>
      <c r="AG120" s="3132"/>
      <c r="AH120" s="3130">
        <f>ROUND(SUM(AB120-AE120),1)</f>
        <v>146.80000000000001</v>
      </c>
      <c r="AI120" s="3088"/>
      <c r="AJ120" s="1441">
        <f t="shared" si="21"/>
        <v>2.379</v>
      </c>
    </row>
    <row r="121" spans="1:38" ht="15.5">
      <c r="A121" s="1433" t="s">
        <v>34</v>
      </c>
      <c r="B121" s="1433"/>
      <c r="C121" s="2768">
        <f>ROUND(SUM(C111:C120),1)</f>
        <v>4031.6</v>
      </c>
      <c r="D121" s="2769"/>
      <c r="E121" s="2768">
        <f>ROUND(SUM(E111:E120),1)</f>
        <v>0</v>
      </c>
      <c r="F121" s="2769"/>
      <c r="G121" s="2768">
        <f>ROUND(SUM(G111:G120),1)</f>
        <v>0</v>
      </c>
      <c r="H121" s="2769"/>
      <c r="I121" s="2768">
        <f>ROUND(SUM(I111:I120),1)</f>
        <v>0</v>
      </c>
      <c r="J121" s="2769"/>
      <c r="K121" s="2768">
        <f>ROUND(SUM(K111:K120),1)</f>
        <v>0</v>
      </c>
      <c r="L121" s="2769"/>
      <c r="M121" s="2768">
        <f>ROUND(SUM(M111:M120),1)</f>
        <v>0</v>
      </c>
      <c r="N121" s="2769"/>
      <c r="O121" s="3386">
        <f>ROUND(SUM(O111:O120),1)</f>
        <v>0</v>
      </c>
      <c r="P121" s="2769"/>
      <c r="Q121" s="2768">
        <f>ROUND(SUM(Q111:Q120),1)</f>
        <v>0</v>
      </c>
      <c r="R121" s="2769"/>
      <c r="S121" s="2768">
        <f>ROUND(SUM(S111:S120),1)</f>
        <v>0</v>
      </c>
      <c r="T121" s="2769"/>
      <c r="U121" s="2768">
        <f>ROUND(SUM(U111:U120),1)</f>
        <v>0</v>
      </c>
      <c r="V121" s="2769"/>
      <c r="W121" s="2768">
        <f>ROUND(SUM(W111:W120),1)</f>
        <v>0</v>
      </c>
      <c r="X121" s="2769"/>
      <c r="Y121" s="2768">
        <f>ROUND(SUM(Y111:Y120),1)</f>
        <v>0</v>
      </c>
      <c r="Z121" s="2769"/>
      <c r="AA121" s="2770"/>
      <c r="AB121" s="3386">
        <f>ROUND(SUM(AB111:AB120),1)</f>
        <v>4031.6</v>
      </c>
      <c r="AC121" s="3387"/>
      <c r="AD121" s="3388"/>
      <c r="AE121" s="1453">
        <f>ROUND(SUM(AE111:AE120),1)</f>
        <v>1785.9</v>
      </c>
      <c r="AF121" s="3131"/>
      <c r="AG121" s="3131"/>
      <c r="AH121" s="1453">
        <f>ROUND(SUM(AH111:AH120),1)</f>
        <v>2245.6999999999998</v>
      </c>
      <c r="AI121" s="3072"/>
      <c r="AJ121" s="2539">
        <f t="shared" si="21"/>
        <v>1.2569999999999999</v>
      </c>
      <c r="AK121" s="2755"/>
      <c r="AL121" s="2755"/>
    </row>
    <row r="122" spans="1:38" ht="15.5">
      <c r="A122" s="1433" t="s">
        <v>35</v>
      </c>
      <c r="B122" s="1433"/>
      <c r="C122" s="2759"/>
      <c r="D122" s="1432"/>
      <c r="E122" s="2759"/>
      <c r="F122" s="1432"/>
      <c r="G122" s="2759"/>
      <c r="H122" s="1432"/>
      <c r="I122" s="2759"/>
      <c r="J122" s="1432"/>
      <c r="K122" s="2759"/>
      <c r="L122" s="1432"/>
      <c r="M122" s="2759"/>
      <c r="N122" s="1432"/>
      <c r="O122" s="3132"/>
      <c r="P122" s="1432"/>
      <c r="Q122" s="2759"/>
      <c r="R122" s="1432"/>
      <c r="S122" s="2759"/>
      <c r="T122" s="1432"/>
      <c r="U122" s="2759"/>
      <c r="V122" s="1432"/>
      <c r="W122" s="2759"/>
      <c r="X122" s="1432"/>
      <c r="Y122" s="2759"/>
      <c r="Z122" s="1432"/>
      <c r="AA122" s="2761"/>
      <c r="AB122" s="3132"/>
      <c r="AC122" s="3130"/>
      <c r="AD122" s="3381"/>
      <c r="AE122" s="2033"/>
      <c r="AF122" s="3132"/>
      <c r="AG122" s="3132"/>
      <c r="AH122" s="1992"/>
      <c r="AI122" s="3088"/>
      <c r="AJ122" s="3343"/>
    </row>
    <row r="123" spans="1:38" ht="15.5">
      <c r="A123" s="1433" t="s">
        <v>137</v>
      </c>
      <c r="B123" s="1433"/>
      <c r="C123" s="1432">
        <f>+'Exhibit F'!D112+'Exhibit G State'!D100</f>
        <v>1107.2</v>
      </c>
      <c r="D123" s="1432"/>
      <c r="E123" s="1432"/>
      <c r="F123" s="1432"/>
      <c r="G123" s="1432"/>
      <c r="H123" s="1432"/>
      <c r="I123" s="1432"/>
      <c r="J123" s="1432"/>
      <c r="K123" s="1432"/>
      <c r="L123" s="1432"/>
      <c r="M123" s="1432"/>
      <c r="N123" s="1432"/>
      <c r="O123" s="3130"/>
      <c r="P123" s="1432"/>
      <c r="Q123" s="1432"/>
      <c r="R123" s="1432"/>
      <c r="S123" s="1432"/>
      <c r="T123" s="1432"/>
      <c r="U123" s="1432"/>
      <c r="V123" s="1432"/>
      <c r="W123" s="1432"/>
      <c r="X123" s="1432"/>
      <c r="Y123" s="1432"/>
      <c r="Z123" s="1432"/>
      <c r="AA123" s="2761"/>
      <c r="AB123" s="3130">
        <f>ROUND(SUM(C123:Y123),1)</f>
        <v>1107.2</v>
      </c>
      <c r="AC123" s="3130"/>
      <c r="AD123" s="3381"/>
      <c r="AE123" s="1992">
        <f>+'Exhibit F'!AF112+'Exhibit G State'!AG100</f>
        <v>1494.8</v>
      </c>
      <c r="AF123" s="3132"/>
      <c r="AG123" s="3132"/>
      <c r="AH123" s="3130">
        <f>ROUND(SUM(AB123-AE123),1)</f>
        <v>-387.6</v>
      </c>
      <c r="AI123" s="3088"/>
      <c r="AJ123" s="1810">
        <f>ROUND(SUM(AH123/ABS(AE123)),3)</f>
        <v>-0.25900000000000001</v>
      </c>
    </row>
    <row r="124" spans="1:38" ht="15.5">
      <c r="A124" s="1433" t="s">
        <v>138</v>
      </c>
      <c r="B124" s="1433"/>
      <c r="C124" s="1432">
        <f>+'Exhibit F'!D113+'Exhibit G State'!D101+'Exhibit H'!B55</f>
        <v>362.49999999999994</v>
      </c>
      <c r="D124" s="1432"/>
      <c r="E124" s="1432"/>
      <c r="F124" s="1432"/>
      <c r="G124" s="1432"/>
      <c r="H124" s="1432"/>
      <c r="I124" s="1432"/>
      <c r="J124" s="1432"/>
      <c r="K124" s="1432"/>
      <c r="L124" s="1432"/>
      <c r="M124" s="1432"/>
      <c r="N124" s="1432"/>
      <c r="O124" s="3130"/>
      <c r="P124" s="1432"/>
      <c r="Q124" s="1432"/>
      <c r="R124" s="1432"/>
      <c r="S124" s="1432"/>
      <c r="T124" s="1432"/>
      <c r="U124" s="1432"/>
      <c r="V124" s="1432"/>
      <c r="W124" s="1432"/>
      <c r="X124" s="1432"/>
      <c r="Y124" s="1432"/>
      <c r="Z124" s="1432"/>
      <c r="AA124" s="2761"/>
      <c r="AB124" s="3130">
        <f>ROUND(SUM(C124:Y124),1)</f>
        <v>362.5</v>
      </c>
      <c r="AC124" s="3130"/>
      <c r="AD124" s="3381"/>
      <c r="AE124" s="1992">
        <f>+'Exhibit F'!AF113+'Exhibit G State'!AG101+'Exhibit H'!AD55</f>
        <v>543.29999999999995</v>
      </c>
      <c r="AF124" s="3132"/>
      <c r="AG124" s="3132"/>
      <c r="AH124" s="3130">
        <f>ROUND(SUM(AB124-AE124),1)</f>
        <v>-180.8</v>
      </c>
      <c r="AI124" s="3088"/>
      <c r="AJ124" s="1810">
        <f>ROUND(SUM(AH124/ABS(AE124)),3)</f>
        <v>-0.33300000000000002</v>
      </c>
    </row>
    <row r="125" spans="1:38" ht="15.5">
      <c r="A125" s="1433" t="s">
        <v>38</v>
      </c>
      <c r="B125" s="1433"/>
      <c r="C125" s="1432">
        <f>+'Exhibit F'!D114+'Exhibit G State'!D102</f>
        <v>870.09999999999991</v>
      </c>
      <c r="D125" s="1432"/>
      <c r="E125" s="1432"/>
      <c r="F125" s="1432"/>
      <c r="G125" s="1432"/>
      <c r="H125" s="1432"/>
      <c r="I125" s="1432"/>
      <c r="J125" s="1432"/>
      <c r="K125" s="1432"/>
      <c r="L125" s="1432"/>
      <c r="M125" s="1432"/>
      <c r="N125" s="1432"/>
      <c r="O125" s="3130"/>
      <c r="P125" s="1432"/>
      <c r="Q125" s="1432"/>
      <c r="R125" s="1432"/>
      <c r="S125" s="1432"/>
      <c r="T125" s="1432"/>
      <c r="U125" s="1432"/>
      <c r="V125" s="1432"/>
      <c r="W125" s="1432"/>
      <c r="X125" s="1432"/>
      <c r="Y125" s="1432"/>
      <c r="Z125" s="1432"/>
      <c r="AA125" s="2761"/>
      <c r="AB125" s="3130">
        <f>ROUND(SUM(C125:Y125),1)</f>
        <v>870.1</v>
      </c>
      <c r="AC125" s="3130"/>
      <c r="AD125" s="3381"/>
      <c r="AE125" s="1992">
        <f>+'Exhibit F'!AF114+'Exhibit G State'!AG102</f>
        <v>512.5</v>
      </c>
      <c r="AF125" s="3132"/>
      <c r="AG125" s="3132"/>
      <c r="AH125" s="3130">
        <f>ROUND(SUM(AB125-AE125),1)</f>
        <v>357.6</v>
      </c>
      <c r="AI125" s="3088"/>
      <c r="AJ125" s="1810">
        <f>ROUND(SUM(AH125/ABS(AE125)),3)</f>
        <v>0.69799999999999995</v>
      </c>
    </row>
    <row r="126" spans="1:38" ht="15.5">
      <c r="A126" s="1433" t="s">
        <v>39</v>
      </c>
      <c r="B126" s="1433"/>
      <c r="C126" s="2759"/>
      <c r="D126" s="1432"/>
      <c r="E126" s="2759"/>
      <c r="F126" s="1432"/>
      <c r="G126" s="2759"/>
      <c r="H126" s="1432"/>
      <c r="I126" s="2759"/>
      <c r="J126" s="1432"/>
      <c r="K126" s="2759"/>
      <c r="L126" s="1432"/>
      <c r="M126" s="2759"/>
      <c r="N126" s="1432"/>
      <c r="O126" s="3132"/>
      <c r="P126" s="1432"/>
      <c r="Q126" s="2759"/>
      <c r="R126" s="1432"/>
      <c r="S126" s="2759"/>
      <c r="T126" s="1432"/>
      <c r="U126" s="2759"/>
      <c r="V126" s="1432"/>
      <c r="W126" s="2759"/>
      <c r="X126" s="1432"/>
      <c r="Y126" s="2759"/>
      <c r="Z126" s="1432"/>
      <c r="AA126" s="2761"/>
      <c r="AB126" s="3130"/>
      <c r="AC126" s="3130"/>
      <c r="AD126" s="3381"/>
      <c r="AE126" s="3132"/>
      <c r="AF126" s="3132"/>
      <c r="AG126" s="3132"/>
      <c r="AH126" s="3130"/>
      <c r="AI126" s="3088"/>
      <c r="AJ126" s="1810"/>
    </row>
    <row r="127" spans="1:38" ht="15.5">
      <c r="A127" s="1433" t="s">
        <v>40</v>
      </c>
      <c r="B127" s="1433"/>
      <c r="C127" s="1432">
        <f>+'Exhibit H'!B57</f>
        <v>122.4</v>
      </c>
      <c r="D127" s="1432"/>
      <c r="E127" s="1432"/>
      <c r="F127" s="1432"/>
      <c r="G127" s="1432"/>
      <c r="H127" s="1432"/>
      <c r="I127" s="1432"/>
      <c r="J127" s="1432"/>
      <c r="K127" s="1432"/>
      <c r="L127" s="1432"/>
      <c r="M127" s="1432"/>
      <c r="N127" s="1432"/>
      <c r="O127" s="3130"/>
      <c r="P127" s="1432"/>
      <c r="Q127" s="1432"/>
      <c r="R127" s="1432"/>
      <c r="S127" s="1432"/>
      <c r="T127" s="1432"/>
      <c r="U127" s="1432"/>
      <c r="V127" s="1432"/>
      <c r="W127" s="1432"/>
      <c r="X127" s="1432"/>
      <c r="Y127" s="1432"/>
      <c r="Z127" s="1432"/>
      <c r="AA127" s="2761"/>
      <c r="AB127" s="3130">
        <f>ROUND(SUM(C127:Y127),1)</f>
        <v>122.4</v>
      </c>
      <c r="AC127" s="3130"/>
      <c r="AD127" s="3381"/>
      <c r="AE127" s="2033">
        <f>+'Exhibit H'!AD57</f>
        <v>36.5</v>
      </c>
      <c r="AF127" s="3132"/>
      <c r="AG127" s="3132"/>
      <c r="AH127" s="3130">
        <f>ROUND(SUM(AB127-AE127),1)</f>
        <v>85.9</v>
      </c>
      <c r="AI127" s="3088"/>
      <c r="AJ127" s="1810">
        <f>ROUND(SUM(AH127/ABS(AE127)),3)</f>
        <v>2.3530000000000002</v>
      </c>
    </row>
    <row r="128" spans="1:38" ht="15.5">
      <c r="A128" s="1433" t="s">
        <v>139</v>
      </c>
      <c r="B128" s="1433"/>
      <c r="C128" s="1432">
        <f>'Exhibit G State'!D103</f>
        <v>0</v>
      </c>
      <c r="D128" s="1432"/>
      <c r="E128" s="1432"/>
      <c r="F128" s="1432"/>
      <c r="G128" s="1432"/>
      <c r="H128" s="1432"/>
      <c r="I128" s="1432"/>
      <c r="J128" s="1432"/>
      <c r="K128" s="1432"/>
      <c r="L128" s="1432"/>
      <c r="M128" s="1432"/>
      <c r="N128" s="1432"/>
      <c r="O128" s="3130"/>
      <c r="P128" s="1432"/>
      <c r="Q128" s="1432"/>
      <c r="R128" s="1432"/>
      <c r="S128" s="1432"/>
      <c r="T128" s="1432"/>
      <c r="U128" s="1432"/>
      <c r="V128" s="1432"/>
      <c r="W128" s="1432"/>
      <c r="X128" s="1432"/>
      <c r="Y128" s="1432"/>
      <c r="Z128" s="1432"/>
      <c r="AA128" s="2760"/>
      <c r="AB128" s="3130">
        <f>ROUND(SUM(C128:Y128),1)</f>
        <v>0</v>
      </c>
      <c r="AC128" s="3130"/>
      <c r="AD128" s="3381"/>
      <c r="AE128" s="2033">
        <f>+'Exhibit G'!AG105</f>
        <v>0</v>
      </c>
      <c r="AF128" s="3132"/>
      <c r="AG128" s="3132"/>
      <c r="AH128" s="3130">
        <f>ROUND(SUM(AB128-AE128),1)</f>
        <v>0</v>
      </c>
      <c r="AI128" s="3088"/>
      <c r="AJ128" s="1716">
        <f>ROUND(IF(AE128=0,0,AH128/ABS(AE128)),3)</f>
        <v>0</v>
      </c>
    </row>
    <row r="129" spans="1:59" ht="16.5" customHeight="1">
      <c r="A129" s="1433"/>
      <c r="B129" s="1433"/>
      <c r="C129" s="3516"/>
      <c r="D129" s="1432"/>
      <c r="E129" s="3516"/>
      <c r="F129" s="1432"/>
      <c r="G129" s="3516"/>
      <c r="H129" s="1432"/>
      <c r="I129" s="3516"/>
      <c r="J129" s="1432"/>
      <c r="K129" s="3516"/>
      <c r="L129" s="1432"/>
      <c r="M129" s="3516"/>
      <c r="N129" s="1432"/>
      <c r="O129" s="3517"/>
      <c r="P129" s="1432"/>
      <c r="Q129" s="3516"/>
      <c r="R129" s="1432"/>
      <c r="S129" s="3516"/>
      <c r="T129" s="1432"/>
      <c r="U129" s="3516"/>
      <c r="V129" s="1432"/>
      <c r="W129" s="3516"/>
      <c r="X129" s="1432"/>
      <c r="Y129" s="3516"/>
      <c r="Z129" s="1432"/>
      <c r="AA129" s="2761"/>
      <c r="AB129" s="3517"/>
      <c r="AC129" s="3130"/>
      <c r="AD129" s="3381"/>
      <c r="AE129" s="3517"/>
      <c r="AF129" s="3132"/>
      <c r="AG129" s="3132"/>
      <c r="AH129" s="3517"/>
      <c r="AI129" s="3088"/>
      <c r="AJ129" s="3518"/>
    </row>
    <row r="130" spans="1:59" ht="16.5" customHeight="1">
      <c r="A130" s="2002" t="s">
        <v>56</v>
      </c>
      <c r="B130" s="1433"/>
      <c r="C130" s="2771">
        <f>ROUND(SUM(C121:C128),1)</f>
        <v>6493.8</v>
      </c>
      <c r="D130" s="2769"/>
      <c r="E130" s="2771">
        <f>ROUND(SUM(E121:E128),1)</f>
        <v>0</v>
      </c>
      <c r="F130" s="2769"/>
      <c r="G130" s="2771">
        <f>ROUND(SUM(G121:G128),1)</f>
        <v>0</v>
      </c>
      <c r="H130" s="2769"/>
      <c r="I130" s="2771">
        <f>ROUND(SUM(I121:I128),1)</f>
        <v>0</v>
      </c>
      <c r="J130" s="2769"/>
      <c r="K130" s="2771">
        <f>ROUND(SUM(K121:K128),1)</f>
        <v>0</v>
      </c>
      <c r="L130" s="2769"/>
      <c r="M130" s="2771">
        <f>ROUND(SUM(M121:M128),1)</f>
        <v>0</v>
      </c>
      <c r="N130" s="2769"/>
      <c r="O130" s="3134">
        <f>ROUND(SUM(O121:O128),1)</f>
        <v>0</v>
      </c>
      <c r="P130" s="2769"/>
      <c r="Q130" s="2771">
        <f>ROUND(SUM(Q121:Q128),1)</f>
        <v>0</v>
      </c>
      <c r="R130" s="2769"/>
      <c r="S130" s="2771">
        <f>ROUND(SUM(S121:S128),1)</f>
        <v>0</v>
      </c>
      <c r="T130" s="2769"/>
      <c r="U130" s="2771">
        <f>ROUND(SUM(U121:U128),1)</f>
        <v>0</v>
      </c>
      <c r="V130" s="2769"/>
      <c r="W130" s="2771">
        <f>ROUND(SUM(W121:W128),1)</f>
        <v>0</v>
      </c>
      <c r="X130" s="2769"/>
      <c r="Y130" s="2771">
        <f>ROUND(SUM(Y121:Y128),1)</f>
        <v>0</v>
      </c>
      <c r="Z130" s="2769"/>
      <c r="AA130" s="2770"/>
      <c r="AB130" s="3134">
        <f>ROUND(SUM(AB121:AB128),1)</f>
        <v>6493.8</v>
      </c>
      <c r="AC130" s="3389"/>
      <c r="AD130" s="3388"/>
      <c r="AE130" s="1552">
        <f>ROUND(SUM(AE121:AE129),1)</f>
        <v>4373</v>
      </c>
      <c r="AF130" s="3131"/>
      <c r="AG130" s="3131"/>
      <c r="AH130" s="1552">
        <f>ROUND(SUM(AH121:AH129),1)</f>
        <v>2120.8000000000002</v>
      </c>
      <c r="AI130" s="3072"/>
      <c r="AJ130" s="2563">
        <f>ROUND(SUM(AH130/ABS(AE130)),3)</f>
        <v>0.48499999999999999</v>
      </c>
      <c r="AK130" s="2755"/>
      <c r="AL130" s="2755"/>
      <c r="AM130" s="2755"/>
      <c r="AN130" s="2755"/>
      <c r="AO130" s="2755"/>
      <c r="AP130" s="2755"/>
      <c r="AQ130" s="2755"/>
      <c r="AR130" s="2755"/>
    </row>
    <row r="131" spans="1:59" ht="16.5" customHeight="1">
      <c r="A131" s="2002"/>
      <c r="B131" s="1433"/>
      <c r="C131" s="1432"/>
      <c r="D131" s="1432"/>
      <c r="E131" s="1432"/>
      <c r="F131" s="1432"/>
      <c r="G131" s="1432"/>
      <c r="H131" s="1432"/>
      <c r="I131" s="1432"/>
      <c r="J131" s="1432"/>
      <c r="K131" s="1432"/>
      <c r="L131" s="1432"/>
      <c r="M131" s="1432"/>
      <c r="N131" s="1432"/>
      <c r="O131" s="3130"/>
      <c r="P131" s="1432"/>
      <c r="Q131" s="1432"/>
      <c r="R131" s="1432"/>
      <c r="S131" s="1432"/>
      <c r="T131" s="1432"/>
      <c r="U131" s="1432"/>
      <c r="V131" s="1432"/>
      <c r="W131" s="1432"/>
      <c r="X131" s="1432"/>
      <c r="Y131" s="1432"/>
      <c r="Z131" s="1432"/>
      <c r="AA131" s="2761"/>
      <c r="AB131" s="3130"/>
      <c r="AC131" s="3130"/>
      <c r="AD131" s="3381"/>
      <c r="AE131" s="3130"/>
      <c r="AF131" s="3132"/>
      <c r="AG131" s="3132"/>
      <c r="AH131" s="1992"/>
      <c r="AI131" s="3088"/>
      <c r="AJ131" s="3343"/>
    </row>
    <row r="132" spans="1:59" ht="16.5" customHeight="1">
      <c r="A132" s="2002" t="s">
        <v>43</v>
      </c>
      <c r="B132" s="1433"/>
      <c r="C132" s="1432"/>
      <c r="D132" s="1432"/>
      <c r="E132" s="1432"/>
      <c r="F132" s="1432"/>
      <c r="G132" s="1432"/>
      <c r="H132" s="1432"/>
      <c r="I132" s="1432"/>
      <c r="J132" s="1432"/>
      <c r="K132" s="1432"/>
      <c r="L132" s="1432"/>
      <c r="M132" s="1432"/>
      <c r="N132" s="1432"/>
      <c r="O132" s="3130"/>
      <c r="P132" s="1432"/>
      <c r="Q132" s="1432"/>
      <c r="R132" s="1432"/>
      <c r="S132" s="1432"/>
      <c r="T132" s="1432"/>
      <c r="U132" s="1432"/>
      <c r="V132" s="1432"/>
      <c r="W132" s="1432"/>
      <c r="X132" s="1432"/>
      <c r="Y132" s="1432"/>
      <c r="Z132" s="1432"/>
      <c r="AA132" s="2761"/>
      <c r="AB132" s="3130"/>
      <c r="AC132" s="3130"/>
      <c r="AD132" s="3381"/>
      <c r="AE132" s="3130"/>
      <c r="AF132" s="3132"/>
      <c r="AG132" s="3132"/>
      <c r="AH132" s="1992"/>
      <c r="AI132" s="3088"/>
      <c r="AJ132" s="3343"/>
    </row>
    <row r="133" spans="1:59" ht="16.5" customHeight="1">
      <c r="A133" s="2002" t="s">
        <v>44</v>
      </c>
      <c r="B133" s="1433"/>
      <c r="C133" s="2771">
        <f>ROUND(SUM(C107-C130),1)</f>
        <v>4148.5</v>
      </c>
      <c r="D133" s="2769"/>
      <c r="E133" s="2771">
        <f>ROUND(SUM(E107-E130),1)</f>
        <v>0</v>
      </c>
      <c r="F133" s="2769"/>
      <c r="G133" s="2771">
        <f>ROUND(SUM(G107-G130),1)</f>
        <v>0</v>
      </c>
      <c r="H133" s="2769"/>
      <c r="I133" s="2771">
        <f>ROUND(SUM(I107-I130),1)</f>
        <v>0</v>
      </c>
      <c r="J133" s="2769"/>
      <c r="K133" s="2771">
        <f>ROUND(SUM(K107-K130),1)</f>
        <v>0</v>
      </c>
      <c r="L133" s="2769"/>
      <c r="M133" s="2771">
        <f>ROUND(SUM(M107-M130),1)</f>
        <v>0</v>
      </c>
      <c r="N133" s="2769"/>
      <c r="O133" s="3134">
        <f>ROUND(SUM(O107-O130),1)</f>
        <v>0</v>
      </c>
      <c r="P133" s="2769"/>
      <c r="Q133" s="2771">
        <f>ROUND(SUM(Q107-Q130),1)</f>
        <v>0</v>
      </c>
      <c r="R133" s="2769"/>
      <c r="S133" s="2771">
        <f>ROUND(SUM(S107-S130),1)</f>
        <v>0</v>
      </c>
      <c r="T133" s="2769"/>
      <c r="U133" s="2771">
        <f>ROUND(SUM(U107-U130),1)</f>
        <v>0</v>
      </c>
      <c r="V133" s="2769"/>
      <c r="W133" s="2771">
        <f>ROUND(SUM(W107-W130),1)</f>
        <v>0</v>
      </c>
      <c r="X133" s="2769"/>
      <c r="Y133" s="2771">
        <f>ROUND(SUM(Y107-Y130),1)</f>
        <v>0</v>
      </c>
      <c r="Z133" s="2769"/>
      <c r="AA133" s="2770"/>
      <c r="AB133" s="3134">
        <f>ROUND(SUM(AB107-AB130),1)</f>
        <v>4148.5</v>
      </c>
      <c r="AC133" s="3389"/>
      <c r="AD133" s="3388"/>
      <c r="AE133" s="3134">
        <f>ROUND(SUM(AE107-AE130),1)</f>
        <v>642.1</v>
      </c>
      <c r="AF133" s="3131"/>
      <c r="AG133" s="3131"/>
      <c r="AH133" s="3349">
        <f>ROUND(SUM(AB133-AE133),1)</f>
        <v>3506.4</v>
      </c>
      <c r="AI133" s="3072"/>
      <c r="AJ133" s="2175">
        <f>ROUND(SUM(AH133/ABS(AE133)),3)</f>
        <v>5.4610000000000003</v>
      </c>
      <c r="AK133" s="2755"/>
      <c r="AL133" s="2755"/>
    </row>
    <row r="134" spans="1:59" ht="16.5" customHeight="1">
      <c r="A134" s="1834"/>
      <c r="B134" s="1433"/>
      <c r="C134" s="2764"/>
      <c r="D134" s="1432"/>
      <c r="E134" s="2764"/>
      <c r="F134" s="1432"/>
      <c r="G134" s="2764"/>
      <c r="H134" s="1432"/>
      <c r="I134" s="2764"/>
      <c r="J134" s="1432"/>
      <c r="K134" s="2764"/>
      <c r="L134" s="1432"/>
      <c r="M134" s="2764"/>
      <c r="N134" s="1432"/>
      <c r="O134" s="2550"/>
      <c r="P134" s="1432"/>
      <c r="Q134" s="2764"/>
      <c r="R134" s="1432"/>
      <c r="S134" s="2764"/>
      <c r="T134" s="1432"/>
      <c r="U134" s="2764"/>
      <c r="V134" s="1432"/>
      <c r="W134" s="2764"/>
      <c r="X134" s="1432"/>
      <c r="Y134" s="2764"/>
      <c r="Z134" s="2772"/>
      <c r="AA134" s="2761"/>
      <c r="AB134" s="2550"/>
      <c r="AC134" s="3130"/>
      <c r="AD134" s="3381"/>
      <c r="AE134" s="2550"/>
      <c r="AF134" s="3132"/>
      <c r="AG134" s="3132"/>
      <c r="AH134" s="1992"/>
      <c r="AI134" s="3088"/>
      <c r="AJ134" s="3343"/>
    </row>
    <row r="135" spans="1:59" ht="16.5" customHeight="1">
      <c r="A135" s="2002" t="s">
        <v>45</v>
      </c>
      <c r="B135" s="1433"/>
      <c r="C135" s="2759"/>
      <c r="D135" s="1432"/>
      <c r="E135" s="2759"/>
      <c r="F135" s="2773"/>
      <c r="G135" s="2759"/>
      <c r="H135" s="2773"/>
      <c r="I135" s="2774"/>
      <c r="J135" s="2773"/>
      <c r="K135" s="2774"/>
      <c r="L135" s="2773"/>
      <c r="M135" s="2774"/>
      <c r="N135" s="2773"/>
      <c r="O135" s="3838"/>
      <c r="P135" s="2773"/>
      <c r="Q135" s="2774"/>
      <c r="R135" s="2773"/>
      <c r="S135" s="2774"/>
      <c r="T135" s="2773"/>
      <c r="U135" s="2774"/>
      <c r="V135" s="1432"/>
      <c r="W135" s="2774"/>
      <c r="X135" s="1432"/>
      <c r="Y135" s="2774"/>
      <c r="Z135" s="2775"/>
      <c r="AA135" s="2761"/>
      <c r="AB135" s="3132"/>
      <c r="AC135" s="3390"/>
      <c r="AD135" s="3130"/>
      <c r="AE135" s="3132"/>
      <c r="AF135" s="3132"/>
      <c r="AG135" s="3132"/>
      <c r="AH135" s="1992"/>
      <c r="AI135" s="3088"/>
      <c r="AJ135" s="3343"/>
    </row>
    <row r="136" spans="1:59" ht="16.5" customHeight="1">
      <c r="A136" s="1433" t="s">
        <v>1090</v>
      </c>
      <c r="B136" s="1433"/>
      <c r="C136" s="2776">
        <f>+'Exhibit F'!D123+'Exhibit F'!D124+'Exhibit F'!D125+'Exhibit F'!D126+'Exhibit G State'!D111+'Exhibit H'!B66</f>
        <v>4886.8999999999996</v>
      </c>
      <c r="D136" s="1432"/>
      <c r="E136" s="2776"/>
      <c r="F136" s="1432"/>
      <c r="G136" s="2776"/>
      <c r="H136" s="1432"/>
      <c r="I136" s="2776"/>
      <c r="J136" s="1432"/>
      <c r="K136" s="2776"/>
      <c r="L136" s="1432"/>
      <c r="M136" s="2776"/>
      <c r="N136" s="1432"/>
      <c r="O136" s="3839"/>
      <c r="P136" s="1432"/>
      <c r="Q136" s="2776"/>
      <c r="R136" s="1432"/>
      <c r="S136" s="2776"/>
      <c r="T136" s="1432"/>
      <c r="U136" s="2776"/>
      <c r="V136" s="1432"/>
      <c r="W136" s="2776"/>
      <c r="X136" s="1432"/>
      <c r="Y136" s="2776"/>
      <c r="Z136" s="1432"/>
      <c r="AA136" s="2761"/>
      <c r="AB136" s="3130">
        <f>ROUND(SUM(C136:Y136),1)</f>
        <v>4886.8999999999996</v>
      </c>
      <c r="AC136" s="3130"/>
      <c r="AD136" s="3383"/>
      <c r="AE136" s="3130">
        <f>'Exhibit F'!AF123+'Exhibit F'!AF124+'Exhibit F'!AF125+'Exhibit F'!AF126+'Exhibit G State'!AG111+'Exhibit H'!AD66</f>
        <v>1939.1</v>
      </c>
      <c r="AF136" s="3132"/>
      <c r="AG136" s="3132"/>
      <c r="AH136" s="3130">
        <f>ROUND(SUM(AB136-AE136),1)</f>
        <v>2947.8</v>
      </c>
      <c r="AI136" s="3088"/>
      <c r="AJ136" s="1810">
        <f>ROUND(SUM(AH136/ABS(AE136)),3)</f>
        <v>1.52</v>
      </c>
    </row>
    <row r="137" spans="1:59" ht="16.5" customHeight="1">
      <c r="A137" s="1433" t="s">
        <v>1091</v>
      </c>
      <c r="C137" s="2777">
        <f>+'Exhibit F'!D127+'Exhibit F'!D128+'Exhibit F'!D129+'Exhibit F'!D130+'Exhibit G State'!D112+'Exhibit H'!B67</f>
        <v>-5216.4000000000005</v>
      </c>
      <c r="D137" s="2533"/>
      <c r="E137" s="2777"/>
      <c r="F137" s="2533"/>
      <c r="G137" s="2777"/>
      <c r="H137" s="2533"/>
      <c r="I137" s="2777"/>
      <c r="J137" s="2533"/>
      <c r="K137" s="2777"/>
      <c r="L137" s="2533"/>
      <c r="M137" s="2777"/>
      <c r="N137" s="2533"/>
      <c r="O137" s="3840"/>
      <c r="P137" s="2533"/>
      <c r="Q137" s="2777"/>
      <c r="R137" s="2533"/>
      <c r="S137" s="2777"/>
      <c r="T137" s="2533"/>
      <c r="U137" s="2777"/>
      <c r="V137" s="2533"/>
      <c r="W137" s="2777"/>
      <c r="X137" s="2533"/>
      <c r="Y137" s="2777"/>
      <c r="Z137" s="2533"/>
      <c r="AA137" s="2778"/>
      <c r="AB137" s="3133">
        <f>ROUND(SUM(C137:Y137),1)</f>
        <v>-5216.3999999999996</v>
      </c>
      <c r="AC137" s="2540"/>
      <c r="AD137" s="3391"/>
      <c r="AE137" s="3133">
        <f>'Exhibit F'!AF127+'Exhibit F'!AF128+'Exhibit F'!AF129+'Exhibit F'!AF130+'Exhibit G State'!AG112+'Exhibit H'!AD67</f>
        <v>-817.89999999999986</v>
      </c>
      <c r="AF137" s="2550"/>
      <c r="AG137" s="2550"/>
      <c r="AH137" s="3133">
        <f>ROUND(SUM(-AB137+AE137),1)</f>
        <v>4398.5</v>
      </c>
      <c r="AI137" s="3343"/>
      <c r="AJ137" s="3350">
        <f>ROUND(SUM(AH137/ABS(AE137)),3)</f>
        <v>5.3780000000000001</v>
      </c>
    </row>
    <row r="138" spans="1:59" ht="16.5" customHeight="1">
      <c r="A138" s="1433"/>
      <c r="C138" s="2759"/>
      <c r="D138" s="2533"/>
      <c r="E138" s="2759"/>
      <c r="F138" s="2533"/>
      <c r="G138" s="2759"/>
      <c r="H138" s="2533"/>
      <c r="I138" s="2759"/>
      <c r="J138" s="2533"/>
      <c r="K138" s="2759"/>
      <c r="L138" s="2533"/>
      <c r="M138" s="2759"/>
      <c r="N138" s="2533"/>
      <c r="O138" s="3132"/>
      <c r="P138" s="2533"/>
      <c r="Q138" s="2759"/>
      <c r="R138" s="2533"/>
      <c r="S138" s="2759"/>
      <c r="T138" s="2533"/>
      <c r="U138" s="2759"/>
      <c r="V138" s="2533"/>
      <c r="W138" s="2759"/>
      <c r="X138" s="2533"/>
      <c r="Y138" s="2759"/>
      <c r="Z138" s="2533"/>
      <c r="AA138" s="2778"/>
      <c r="AB138" s="3132"/>
      <c r="AC138" s="2540"/>
      <c r="AD138" s="3391"/>
      <c r="AE138" s="3132"/>
      <c r="AF138" s="2550"/>
      <c r="AG138" s="2550"/>
      <c r="AH138" s="3132"/>
      <c r="AI138" s="3343"/>
      <c r="AJ138" s="1441"/>
    </row>
    <row r="139" spans="1:59" ht="16.5" customHeight="1">
      <c r="A139" s="2002" t="s">
        <v>48</v>
      </c>
      <c r="C139" s="2771">
        <f>ROUND(SUM(C136:C137),1)</f>
        <v>-329.5</v>
      </c>
      <c r="D139" s="2779"/>
      <c r="E139" s="2771">
        <f>ROUND(SUM(E136:E137),1)</f>
        <v>0</v>
      </c>
      <c r="F139" s="2779"/>
      <c r="G139" s="2771">
        <f>ROUND(SUM(G136:G137),1)</f>
        <v>0</v>
      </c>
      <c r="H139" s="2779"/>
      <c r="I139" s="2771">
        <f>ROUND(SUM(I136:I137),1)</f>
        <v>0</v>
      </c>
      <c r="J139" s="2779"/>
      <c r="K139" s="2771">
        <f>ROUND(SUM(K136:K137),1)</f>
        <v>0</v>
      </c>
      <c r="L139" s="2779"/>
      <c r="M139" s="2771">
        <f>ROUND(SUM(M136:M137),1)</f>
        <v>0</v>
      </c>
      <c r="N139" s="2779"/>
      <c r="O139" s="3134">
        <f>ROUND(SUM(O136:O137),1)</f>
        <v>0</v>
      </c>
      <c r="P139" s="2779"/>
      <c r="Q139" s="2771">
        <f>ROUND(SUM(Q136:Q137),1)</f>
        <v>0</v>
      </c>
      <c r="R139" s="2779"/>
      <c r="S139" s="2771">
        <f>ROUND(SUM(S136:S137),1)</f>
        <v>0</v>
      </c>
      <c r="T139" s="2779"/>
      <c r="U139" s="2771">
        <f>ROUND(SUM(U136:U137),1)</f>
        <v>0</v>
      </c>
      <c r="V139" s="2779"/>
      <c r="W139" s="2771">
        <f>ROUND(SUM(W136:W137),1)</f>
        <v>0</v>
      </c>
      <c r="X139" s="2779"/>
      <c r="Y139" s="2771">
        <f>ROUND(SUM(Y136:Y137),1)</f>
        <v>0</v>
      </c>
      <c r="Z139" s="2779"/>
      <c r="AA139" s="2780"/>
      <c r="AB139" s="3134">
        <f>ROUND(SUM(AB136:AB137),1)</f>
        <v>-329.5</v>
      </c>
      <c r="AC139" s="2545"/>
      <c r="AD139" s="3392"/>
      <c r="AE139" s="3134">
        <f>ROUND(SUM(AE136:AE137),1)</f>
        <v>1121.2</v>
      </c>
      <c r="AF139" s="3351"/>
      <c r="AG139" s="2550"/>
      <c r="AH139" s="3134">
        <f>ROUND(SUM(AH136-AH137),1)</f>
        <v>-1450.7</v>
      </c>
      <c r="AI139" s="2164"/>
      <c r="AJ139" s="2175">
        <f>-ROUND(SUM(-AH139/ABS(AE139)),3)</f>
        <v>-1.294</v>
      </c>
      <c r="AK139" s="2755"/>
      <c r="AL139" s="2755"/>
    </row>
    <row r="140" spans="1:59" ht="16.5" customHeight="1">
      <c r="A140" s="1834"/>
      <c r="C140" s="2533"/>
      <c r="D140" s="2533"/>
      <c r="E140" s="2533"/>
      <c r="F140" s="2533"/>
      <c r="G140" s="2533"/>
      <c r="H140" s="2533"/>
      <c r="I140" s="2533"/>
      <c r="J140" s="2533"/>
      <c r="K140" s="2533"/>
      <c r="L140" s="2533"/>
      <c r="M140" s="2533"/>
      <c r="N140" s="2533"/>
      <c r="O140" s="2540"/>
      <c r="P140" s="2533"/>
      <c r="Q140" s="2533"/>
      <c r="R140" s="2533"/>
      <c r="S140" s="2533"/>
      <c r="T140" s="2533"/>
      <c r="U140" s="2533"/>
      <c r="V140" s="2533"/>
      <c r="W140" s="2533"/>
      <c r="X140" s="2533"/>
      <c r="Y140" s="2533"/>
      <c r="Z140" s="2533"/>
      <c r="AA140" s="2778"/>
      <c r="AB140" s="2540"/>
      <c r="AC140" s="2540"/>
      <c r="AD140" s="3391"/>
      <c r="AE140" s="2540"/>
      <c r="AF140" s="2550"/>
      <c r="AG140" s="3352"/>
      <c r="AH140" s="1992"/>
      <c r="AI140" s="3343"/>
      <c r="AJ140" s="3343"/>
    </row>
    <row r="141" spans="1:59" ht="16.5" customHeight="1">
      <c r="A141" s="2164" t="s">
        <v>43</v>
      </c>
      <c r="C141" s="2759"/>
      <c r="D141" s="2533"/>
      <c r="E141" s="2759"/>
      <c r="F141" s="2533"/>
      <c r="G141" s="2759"/>
      <c r="H141" s="2533"/>
      <c r="I141" s="2759"/>
      <c r="J141" s="2533"/>
      <c r="K141" s="2759"/>
      <c r="L141" s="2533"/>
      <c r="M141" s="2759"/>
      <c r="N141" s="2533"/>
      <c r="O141" s="3132"/>
      <c r="P141" s="2533"/>
      <c r="Q141" s="2759"/>
      <c r="R141" s="2533"/>
      <c r="S141" s="2759"/>
      <c r="T141" s="2533"/>
      <c r="U141" s="2759"/>
      <c r="V141" s="2533"/>
      <c r="W141" s="2759"/>
      <c r="X141" s="2533"/>
      <c r="Y141" s="2759"/>
      <c r="Z141" s="2533"/>
      <c r="AA141" s="2778"/>
      <c r="AB141" s="3132"/>
      <c r="AC141" s="2540"/>
      <c r="AD141" s="3391"/>
      <c r="AE141" s="3132"/>
      <c r="AF141" s="2550"/>
      <c r="AG141" s="3353"/>
      <c r="AH141" s="1992"/>
      <c r="AI141" s="3343"/>
      <c r="AJ141" s="3343"/>
    </row>
    <row r="142" spans="1:59" ht="16.5" customHeight="1">
      <c r="A142" s="2164" t="s">
        <v>49</v>
      </c>
      <c r="C142" s="2769"/>
      <c r="D142" s="2779"/>
      <c r="E142" s="2769"/>
      <c r="F142" s="2779"/>
      <c r="G142" s="2769"/>
      <c r="H142" s="2779"/>
      <c r="I142" s="2769"/>
      <c r="J142" s="2779"/>
      <c r="K142" s="2769"/>
      <c r="L142" s="2779"/>
      <c r="M142" s="2769"/>
      <c r="N142" s="2779"/>
      <c r="O142" s="3389"/>
      <c r="P142" s="2779"/>
      <c r="Q142" s="2769"/>
      <c r="R142" s="2779"/>
      <c r="S142" s="2769"/>
      <c r="T142" s="2779"/>
      <c r="U142" s="2769"/>
      <c r="V142" s="2779"/>
      <c r="W142" s="2769"/>
      <c r="X142" s="2779"/>
      <c r="Y142" s="2769"/>
      <c r="Z142" s="2779"/>
      <c r="AA142" s="2780"/>
      <c r="AB142" s="3389"/>
      <c r="AC142" s="2545"/>
      <c r="AD142" s="3392"/>
      <c r="AE142" s="3389"/>
      <c r="AF142" s="2550"/>
      <c r="AG142" s="3352"/>
      <c r="AH142" s="2042"/>
      <c r="AI142" s="2164"/>
      <c r="AJ142" s="2164"/>
      <c r="AK142" s="2755"/>
      <c r="AL142" s="2755"/>
      <c r="AM142" s="2755"/>
      <c r="AN142" s="2755"/>
      <c r="AO142" s="2755"/>
      <c r="AP142" s="2755"/>
      <c r="AQ142" s="2755"/>
      <c r="AR142" s="2755"/>
      <c r="AS142" s="2755"/>
      <c r="AT142" s="2755"/>
      <c r="AU142" s="2755"/>
      <c r="AV142" s="2755"/>
      <c r="AW142" s="2755"/>
      <c r="AX142" s="2755"/>
      <c r="AY142" s="2755"/>
      <c r="AZ142" s="2755"/>
      <c r="BA142" s="2755"/>
      <c r="BB142" s="2755"/>
      <c r="BC142" s="2755"/>
      <c r="BD142" s="2755"/>
      <c r="BE142" s="2755"/>
      <c r="BF142" s="2755"/>
      <c r="BG142" s="2755"/>
    </row>
    <row r="143" spans="1:59" ht="16.5" customHeight="1">
      <c r="A143" s="2164" t="s">
        <v>50</v>
      </c>
      <c r="C143" s="2781">
        <f>ROUND(SUM(C133+C139),1)</f>
        <v>3819</v>
      </c>
      <c r="D143" s="2779"/>
      <c r="E143" s="2781">
        <f>ROUND(SUM(E133+E139),1)</f>
        <v>0</v>
      </c>
      <c r="F143" s="2779"/>
      <c r="G143" s="2781">
        <f>ROUND(SUM(G133+G139),1)</f>
        <v>0</v>
      </c>
      <c r="H143" s="2779"/>
      <c r="I143" s="2781">
        <f>ROUND(SUM(I133+I139),1)</f>
        <v>0</v>
      </c>
      <c r="J143" s="2779"/>
      <c r="K143" s="2781">
        <f>ROUND(SUM(K133+K139),1)</f>
        <v>0</v>
      </c>
      <c r="L143" s="2779"/>
      <c r="M143" s="2781">
        <f>ROUND(SUM(M133+M139),1)</f>
        <v>0</v>
      </c>
      <c r="N143" s="2779"/>
      <c r="O143" s="3393">
        <f>ROUND(SUM(O133+O139),1)</f>
        <v>0</v>
      </c>
      <c r="P143" s="2779"/>
      <c r="Q143" s="2781">
        <f>ROUND(SUM(Q133+Q139),1)</f>
        <v>0</v>
      </c>
      <c r="R143" s="2779"/>
      <c r="S143" s="2781">
        <f>ROUND(SUM(S133+S139),1)</f>
        <v>0</v>
      </c>
      <c r="T143" s="2779"/>
      <c r="U143" s="2781">
        <f>ROUND(SUM(U133+U139),1)</f>
        <v>0</v>
      </c>
      <c r="V143" s="2779"/>
      <c r="W143" s="2781">
        <f>ROUND(SUM(W133+W139),1)</f>
        <v>0</v>
      </c>
      <c r="X143" s="2779"/>
      <c r="Y143" s="2781">
        <f>ROUND(SUM(Y133+Y139),1)</f>
        <v>0</v>
      </c>
      <c r="Z143" s="2779"/>
      <c r="AA143" s="2780"/>
      <c r="AB143" s="3393">
        <f>ROUND(SUM(AB133+AB139),1)</f>
        <v>3819</v>
      </c>
      <c r="AC143" s="2545"/>
      <c r="AD143" s="3392"/>
      <c r="AE143" s="3393">
        <f>ROUND(SUM(AE133+AE139),1)</f>
        <v>1763.3</v>
      </c>
      <c r="AF143" s="2550"/>
      <c r="AG143" s="3352"/>
      <c r="AH143" s="3349">
        <f>ROUND(SUM(AB143-AE143),1)</f>
        <v>2055.6999999999998</v>
      </c>
      <c r="AI143" s="2164"/>
      <c r="AJ143" s="2175">
        <f>ROUND(SUM(AH143/ABS(AE143)),3)</f>
        <v>1.1659999999999999</v>
      </c>
      <c r="AK143" s="2755"/>
      <c r="AL143" s="2755"/>
      <c r="AM143" s="2755"/>
      <c r="AN143" s="2755"/>
      <c r="AO143" s="2755"/>
      <c r="AP143" s="2755"/>
      <c r="AQ143" s="2755"/>
      <c r="AR143" s="2755"/>
      <c r="AS143" s="2755"/>
      <c r="AT143" s="2755"/>
      <c r="AU143" s="2755"/>
      <c r="AV143" s="2755"/>
      <c r="AW143" s="2755"/>
      <c r="AX143" s="2755"/>
      <c r="AY143" s="2755"/>
      <c r="AZ143" s="2755"/>
      <c r="BA143" s="2755"/>
      <c r="BB143" s="2755"/>
      <c r="BC143" s="2755"/>
      <c r="BD143" s="2755"/>
      <c r="BE143" s="2755"/>
      <c r="BF143" s="2755"/>
      <c r="BG143" s="2755"/>
    </row>
    <row r="144" spans="1:59" ht="15.5">
      <c r="A144" s="2002"/>
      <c r="C144" s="2749"/>
      <c r="E144" s="2749"/>
      <c r="G144" s="2749"/>
      <c r="I144" s="2749"/>
      <c r="K144" s="2749"/>
      <c r="M144" s="2749"/>
      <c r="O144" s="3378"/>
      <c r="Q144" s="2749"/>
      <c r="S144" s="2749"/>
      <c r="U144" s="2749"/>
      <c r="W144" s="2749"/>
      <c r="Y144" s="2749"/>
      <c r="AA144" s="2783"/>
      <c r="AB144" s="3378"/>
      <c r="AD144" s="3394"/>
      <c r="AE144" s="3835"/>
      <c r="AF144" s="2550"/>
      <c r="AG144" s="3354"/>
      <c r="AH144" s="3343"/>
      <c r="AI144" s="3343"/>
      <c r="AJ144" s="3343"/>
    </row>
    <row r="145" spans="1:37" ht="16" thickBot="1">
      <c r="A145" s="2784" t="s">
        <v>140</v>
      </c>
      <c r="C145" s="2785">
        <f>ROUND(SUM(C16+C143),1)</f>
        <v>18753.400000000001</v>
      </c>
      <c r="D145" s="2786"/>
      <c r="E145" s="2785">
        <f>ROUND(SUM(E16+E143),1)</f>
        <v>0</v>
      </c>
      <c r="F145" s="2786"/>
      <c r="G145" s="2785">
        <f>ROUND(SUM(G16+G143),1)</f>
        <v>0</v>
      </c>
      <c r="H145" s="2786"/>
      <c r="I145" s="2785">
        <f>ROUND(SUM(I16+I143),1)</f>
        <v>0</v>
      </c>
      <c r="J145" s="2787"/>
      <c r="K145" s="2785">
        <f>ROUND(SUM(K16+K143),1)</f>
        <v>0</v>
      </c>
      <c r="L145" s="2787"/>
      <c r="M145" s="2785">
        <f>ROUND(SUM(M16+M143),1)</f>
        <v>0</v>
      </c>
      <c r="N145" s="2787"/>
      <c r="O145" s="3135">
        <f>ROUND(SUM(O16+O143),1)</f>
        <v>0</v>
      </c>
      <c r="P145" s="2787"/>
      <c r="Q145" s="2785">
        <f>ROUND(SUM(Q16+Q143),1)</f>
        <v>0</v>
      </c>
      <c r="R145" s="2787"/>
      <c r="S145" s="2785">
        <f>ROUND(SUM(S16+S143),1)</f>
        <v>0</v>
      </c>
      <c r="T145" s="2787"/>
      <c r="U145" s="2785">
        <f>ROUND(SUM(U16+U143),1)</f>
        <v>0</v>
      </c>
      <c r="V145" s="2787"/>
      <c r="W145" s="2785">
        <f>ROUND(SUM(W16+W143),1)</f>
        <v>0</v>
      </c>
      <c r="X145" s="2787"/>
      <c r="Y145" s="2785">
        <f>ROUND(SUM(Y16+Y143),1)</f>
        <v>0</v>
      </c>
      <c r="Z145" s="2786"/>
      <c r="AA145" s="2782"/>
      <c r="AB145" s="3135">
        <f>ROUND(SUM(AB16+AB143),1)</f>
        <v>18753.400000000001</v>
      </c>
      <c r="AC145" s="3395"/>
      <c r="AD145" s="3354"/>
      <c r="AE145" s="3135">
        <f>ROUND(SUM(AE16+AE143),1)</f>
        <v>16171.6</v>
      </c>
      <c r="AF145" s="2550"/>
      <c r="AG145" s="3354"/>
      <c r="AH145" s="3135">
        <f>ROUND(SUM(AB145-AE145),1)</f>
        <v>2581.8000000000002</v>
      </c>
      <c r="AI145" s="2164"/>
      <c r="AJ145" s="3355">
        <f>ROUND(SUM(AH145/ABS(AE145)),3)</f>
        <v>0.16</v>
      </c>
      <c r="AK145" s="2755"/>
    </row>
    <row r="146" spans="1:37" ht="16" thickTop="1">
      <c r="A146" s="2788"/>
      <c r="C146" s="2767"/>
      <c r="AH146" s="3343"/>
      <c r="AI146" s="3343"/>
      <c r="AJ146" s="3343"/>
    </row>
    <row r="147" spans="1:37" ht="15.5">
      <c r="A147" s="2248" t="s">
        <v>1081</v>
      </c>
      <c r="AH147" s="3343"/>
      <c r="AI147" s="3343"/>
      <c r="AJ147" s="3343"/>
    </row>
    <row r="148" spans="1:37" ht="15.5">
      <c r="A148" s="2248" t="s">
        <v>1042</v>
      </c>
      <c r="AH148" s="3343"/>
      <c r="AI148" s="3343"/>
      <c r="AJ148" s="3343"/>
    </row>
    <row r="149" spans="1:37" ht="15.5">
      <c r="A149" s="2789" t="s">
        <v>1112</v>
      </c>
      <c r="AH149" s="3343"/>
      <c r="AI149" s="3343"/>
      <c r="AJ149" s="3343"/>
    </row>
    <row r="150" spans="1:37" ht="16.5" customHeight="1">
      <c r="AH150" s="3343"/>
      <c r="AI150" s="3343"/>
      <c r="AJ150" s="3343"/>
    </row>
    <row r="151" spans="1:37" ht="16.5" customHeight="1">
      <c r="AH151" s="3343"/>
      <c r="AI151" s="3343"/>
      <c r="AJ151" s="3343"/>
    </row>
    <row r="152" spans="1:37" ht="16.5" customHeight="1">
      <c r="AH152" s="3343"/>
      <c r="AI152" s="3343"/>
      <c r="AJ152" s="3343"/>
    </row>
    <row r="153" spans="1:37" ht="16.5" customHeight="1">
      <c r="AH153" s="3343"/>
      <c r="AI153" s="3343"/>
      <c r="AJ153" s="3343"/>
    </row>
    <row r="154" spans="1:37" ht="16.5" customHeight="1">
      <c r="AH154" s="3343"/>
      <c r="AI154" s="3343"/>
      <c r="AJ154" s="3343"/>
    </row>
    <row r="155" spans="1:37" ht="16.5" customHeight="1">
      <c r="AH155" s="3343"/>
      <c r="AI155" s="3343"/>
      <c r="AJ155" s="3343"/>
    </row>
    <row r="156" spans="1:37" ht="16.5" customHeight="1">
      <c r="AH156" s="3343"/>
      <c r="AI156" s="3343"/>
      <c r="AJ156" s="3343"/>
    </row>
    <row r="157" spans="1:37" ht="16.5" customHeight="1">
      <c r="AH157" s="3343"/>
      <c r="AI157" s="3343"/>
      <c r="AJ157" s="3343"/>
    </row>
    <row r="158" spans="1:37" ht="16.5" customHeight="1">
      <c r="AH158" s="3343"/>
      <c r="AI158" s="3343"/>
      <c r="AJ158" s="3343"/>
    </row>
    <row r="159" spans="1:37" ht="16.5" customHeight="1">
      <c r="AH159" s="3343"/>
      <c r="AI159" s="3343"/>
      <c r="AJ159" s="3343"/>
    </row>
    <row r="160" spans="1:37" ht="16.5" customHeight="1">
      <c r="AH160" s="3343"/>
      <c r="AI160" s="3343"/>
      <c r="AJ160" s="3343"/>
    </row>
    <row r="161" spans="34:36" ht="16.5" customHeight="1">
      <c r="AH161" s="3343"/>
      <c r="AI161" s="3343"/>
      <c r="AJ161" s="3343"/>
    </row>
    <row r="162" spans="34:36" ht="16.5" customHeight="1">
      <c r="AH162" s="3343"/>
      <c r="AI162" s="3343"/>
      <c r="AJ162" s="3343"/>
    </row>
    <row r="163" spans="34:36" ht="16.5" customHeight="1">
      <c r="AH163" s="3343"/>
      <c r="AI163" s="3343"/>
      <c r="AJ163" s="3343"/>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24 AH35:AI35 AJ54 AJ35 AJ92 AJ80 AB26" formula="1"/>
    <ignoredError sqref="AJ84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M213"/>
  <sheetViews>
    <sheetView showGridLines="0" zoomScale="80" zoomScaleNormal="50" workbookViewId="0"/>
  </sheetViews>
  <sheetFormatPr defaultColWidth="8.765625" defaultRowHeight="12.5"/>
  <cols>
    <col min="1" max="1" width="2.53515625" style="2408" customWidth="1"/>
    <col min="2" max="2" width="48.53515625" style="2408" customWidth="1"/>
    <col min="3" max="3" width="1.07421875" style="2408" customWidth="1"/>
    <col min="4" max="4" width="12.4609375" style="2408" bestFit="1" customWidth="1"/>
    <col min="5" max="5" width="1.765625" style="2408" customWidth="1"/>
    <col min="6" max="6" width="12" style="2408" customWidth="1"/>
    <col min="7" max="7" width="1.765625" style="2408" customWidth="1"/>
    <col min="8" max="8" width="12.07421875" style="2408" customWidth="1"/>
    <col min="9" max="9" width="1.765625" style="2408" customWidth="1"/>
    <col min="10" max="10" width="13.765625" style="2409" customWidth="1"/>
    <col min="11" max="11" width="1.765625" style="2408" customWidth="1"/>
    <col min="12" max="12" width="12.07421875" style="2408" bestFit="1" customWidth="1"/>
    <col min="13" max="13" width="1.765625" style="2408" customWidth="1"/>
    <col min="14" max="14" width="13.765625" style="2408" customWidth="1"/>
    <col min="15" max="15" width="1.765625" style="2408" customWidth="1"/>
    <col min="16" max="16" width="12.07421875" style="2410" customWidth="1"/>
    <col min="17" max="17" width="1.765625" style="2408" customWidth="1"/>
    <col min="18" max="18" width="12.07421875" style="2408" customWidth="1"/>
    <col min="19" max="19" width="1.765625" style="2408" customWidth="1"/>
    <col min="20" max="20" width="14.765625" style="2408" customWidth="1"/>
    <col min="21" max="21" width="1.765625" style="2408" customWidth="1"/>
    <col min="22" max="22" width="12.07421875" style="2408" customWidth="1"/>
    <col min="23" max="23" width="1.765625" style="2408" customWidth="1"/>
    <col min="24" max="24" width="12.765625" style="2408" customWidth="1"/>
    <col min="25" max="25" width="1.765625" style="2408" customWidth="1"/>
    <col min="26" max="26" width="14.53515625" style="2408" customWidth="1"/>
    <col min="27" max="27" width="1.53515625" style="2408" customWidth="1"/>
    <col min="28" max="28" width="1.765625" style="2408" customWidth="1"/>
    <col min="29" max="29" width="13.07421875" style="2410" customWidth="1"/>
    <col min="30" max="30" width="1.4609375" style="2410" customWidth="1"/>
    <col min="31" max="31" width="1.07421875" style="2410" customWidth="1"/>
    <col min="32" max="32" width="15.23046875" style="2410" customWidth="1"/>
    <col min="33" max="33" width="1" style="2408" customWidth="1"/>
    <col min="34" max="34" width="1.07421875" style="2408" customWidth="1"/>
    <col min="35" max="35" width="13.07421875" style="2408" bestFit="1" customWidth="1"/>
    <col min="36" max="36" width="1" style="2411" customWidth="1"/>
    <col min="37" max="37" width="13.765625" style="2412" bestFit="1" customWidth="1"/>
    <col min="38" max="38" width="10.07421875" style="2408" customWidth="1"/>
    <col min="39" max="16384" width="8.765625" style="2408"/>
  </cols>
  <sheetData>
    <row r="1" spans="1:37" ht="15.5">
      <c r="B1" s="2225" t="s">
        <v>885</v>
      </c>
    </row>
    <row r="2" spans="1:37">
      <c r="A2" s="2413"/>
      <c r="B2" s="2017"/>
      <c r="C2" s="2017"/>
      <c r="D2" s="2017"/>
      <c r="E2" s="2017"/>
      <c r="F2" s="2017"/>
      <c r="G2" s="2017"/>
      <c r="H2" s="2017"/>
      <c r="I2" s="2017"/>
      <c r="J2" s="2414"/>
      <c r="K2" s="2017"/>
      <c r="L2" s="2017"/>
      <c r="M2" s="2017"/>
      <c r="N2" s="2017"/>
      <c r="O2" s="2017"/>
      <c r="P2" s="2184"/>
      <c r="Q2" s="2017"/>
      <c r="R2" s="2017"/>
      <c r="S2" s="2017"/>
      <c r="T2" s="2017"/>
      <c r="U2" s="2017"/>
      <c r="V2" s="2017"/>
      <c r="W2" s="2017"/>
      <c r="X2" s="2017"/>
      <c r="Y2" s="2017"/>
      <c r="Z2" s="2017"/>
      <c r="AA2" s="2017"/>
      <c r="AB2" s="2017"/>
      <c r="AC2" s="2184"/>
      <c r="AD2" s="2184"/>
      <c r="AE2" s="2184"/>
      <c r="AF2" s="2184"/>
      <c r="AG2" s="2017"/>
      <c r="AH2" s="2415"/>
    </row>
    <row r="3" spans="1:37" ht="18">
      <c r="A3" s="2413"/>
      <c r="B3" s="2416" t="s">
        <v>0</v>
      </c>
      <c r="C3" s="2017"/>
      <c r="D3" s="2017"/>
      <c r="E3" s="2017"/>
      <c r="F3" s="2417"/>
      <c r="G3" s="2017"/>
      <c r="H3" s="2017"/>
      <c r="I3" s="2017"/>
      <c r="J3" s="2414"/>
      <c r="K3" s="2017"/>
      <c r="L3" s="2017"/>
      <c r="M3" s="2418"/>
      <c r="N3" s="2419"/>
      <c r="O3" s="2017"/>
      <c r="P3" s="2184"/>
      <c r="Q3" s="2017"/>
      <c r="R3" s="2017"/>
      <c r="S3" s="2017"/>
      <c r="T3" s="2017"/>
      <c r="U3" s="2017"/>
      <c r="V3" s="2017"/>
      <c r="W3" s="2017"/>
      <c r="X3" s="2017"/>
      <c r="Y3" s="2017"/>
      <c r="Z3" s="2017"/>
      <c r="AA3" s="2017"/>
      <c r="AB3" s="2017"/>
      <c r="AC3" s="2184"/>
      <c r="AD3" s="2184"/>
      <c r="AE3" s="2184"/>
      <c r="AF3" s="2184"/>
      <c r="AG3" s="2017"/>
      <c r="AH3" s="2415"/>
      <c r="AK3" s="2420" t="s">
        <v>146</v>
      </c>
    </row>
    <row r="4" spans="1:37" ht="18">
      <c r="A4" s="2413"/>
      <c r="B4" s="2421" t="s">
        <v>145</v>
      </c>
      <c r="C4" s="2017"/>
      <c r="D4" s="2017"/>
      <c r="E4" s="2017"/>
      <c r="F4" s="2417"/>
      <c r="G4" s="2017"/>
      <c r="H4" s="2017" t="s">
        <v>14</v>
      </c>
      <c r="I4" s="2017"/>
      <c r="J4" s="2414"/>
      <c r="K4" s="2017"/>
      <c r="L4" s="2017"/>
      <c r="M4" s="2418"/>
      <c r="N4" s="2419"/>
      <c r="O4" s="2017"/>
      <c r="P4" s="2184"/>
      <c r="Q4" s="2017"/>
      <c r="R4" s="2017"/>
      <c r="S4" s="2017"/>
      <c r="T4" s="2017"/>
      <c r="U4" s="2017"/>
      <c r="V4" s="2017"/>
      <c r="W4" s="2017"/>
      <c r="X4" s="2017"/>
      <c r="Y4" s="2017"/>
      <c r="Z4" s="2017"/>
      <c r="AA4" s="2017"/>
      <c r="AB4" s="2017"/>
      <c r="AC4" s="3136"/>
      <c r="AD4" s="3136"/>
      <c r="AE4" s="3136"/>
      <c r="AF4" s="3469"/>
      <c r="AG4" s="2422"/>
      <c r="AH4" s="2415"/>
    </row>
    <row r="5" spans="1:37" ht="18">
      <c r="A5" s="2413"/>
      <c r="B5" s="2421" t="s">
        <v>147</v>
      </c>
      <c r="C5" s="2017"/>
      <c r="D5" s="2017"/>
      <c r="E5" s="2017"/>
      <c r="F5" s="2417"/>
      <c r="G5" s="2017"/>
      <c r="H5" s="2017"/>
      <c r="I5" s="2017"/>
      <c r="J5" s="2414"/>
      <c r="K5" s="2017"/>
      <c r="L5" s="2017"/>
      <c r="M5" s="2418"/>
      <c r="N5" s="2419"/>
      <c r="O5" s="2017"/>
      <c r="P5" s="2184"/>
      <c r="Q5" s="2017"/>
      <c r="R5" s="2017"/>
      <c r="S5" s="2017"/>
      <c r="T5" s="2017"/>
      <c r="U5" s="2017"/>
      <c r="V5" s="2017"/>
      <c r="W5" s="2017"/>
      <c r="X5" s="2017"/>
      <c r="Y5" s="2017"/>
      <c r="Z5" s="2017"/>
      <c r="AA5" s="2017"/>
      <c r="AB5" s="2017"/>
      <c r="AD5" s="3137"/>
      <c r="AE5" s="3137"/>
      <c r="AH5" s="2415"/>
    </row>
    <row r="6" spans="1:37" ht="18" customHeight="1">
      <c r="A6" s="2413"/>
      <c r="B6" s="2423" t="str">
        <f>'Cashflow Governmental'!A6</f>
        <v xml:space="preserve">FISCAL YEAR 2021-2022   </v>
      </c>
      <c r="C6" s="2017"/>
      <c r="D6" s="2017"/>
      <c r="E6" s="2017"/>
      <c r="F6" s="2417"/>
      <c r="G6" s="2017"/>
      <c r="H6" s="2017"/>
      <c r="I6" s="2017"/>
      <c r="J6" s="2414"/>
      <c r="K6" s="2017"/>
      <c r="L6" s="2017"/>
      <c r="M6" s="2418"/>
      <c r="N6" s="2419"/>
      <c r="O6" s="2017"/>
      <c r="P6" s="2184"/>
      <c r="Q6" s="2017"/>
      <c r="R6" s="2017"/>
      <c r="S6" s="2017"/>
      <c r="T6" s="2017"/>
      <c r="U6" s="2017"/>
      <c r="V6" s="2017"/>
      <c r="W6" s="2017"/>
      <c r="X6" s="2017"/>
      <c r="Y6" s="2017"/>
      <c r="Z6" s="2017"/>
      <c r="AA6" s="2017"/>
      <c r="AB6" s="2017"/>
      <c r="AC6" s="2184"/>
      <c r="AD6" s="2184"/>
      <c r="AE6" s="2184"/>
      <c r="AF6" s="2184"/>
      <c r="AG6" s="2017"/>
      <c r="AH6" s="2415"/>
    </row>
    <row r="7" spans="1:37" ht="15" customHeight="1">
      <c r="A7" s="2413"/>
      <c r="B7" s="2421" t="s">
        <v>1280</v>
      </c>
      <c r="C7" s="2017"/>
      <c r="D7" s="2017"/>
      <c r="E7" s="2017"/>
      <c r="F7" s="2417"/>
      <c r="G7" s="2017"/>
      <c r="H7" s="2017"/>
      <c r="I7" s="2017"/>
      <c r="J7" s="2414"/>
      <c r="K7" s="2017"/>
      <c r="L7" s="2419"/>
      <c r="M7" s="2418"/>
      <c r="N7" s="2017"/>
      <c r="O7" s="2017"/>
      <c r="P7" s="3071"/>
      <c r="Q7" s="2017"/>
      <c r="R7" s="2017"/>
      <c r="S7" s="2017"/>
      <c r="T7" s="2017"/>
      <c r="U7" s="2017"/>
      <c r="V7" s="2017"/>
      <c r="W7" s="2017"/>
      <c r="X7" s="2017"/>
      <c r="Y7" s="2017"/>
      <c r="Z7" s="2017"/>
      <c r="AA7" s="2017"/>
      <c r="AB7" s="2017"/>
      <c r="AC7" s="2184"/>
      <c r="AD7" s="2184"/>
      <c r="AE7" s="2184"/>
      <c r="AF7" s="2184"/>
      <c r="AG7" s="2017"/>
      <c r="AH7" s="2415"/>
    </row>
    <row r="8" spans="1:37" ht="15.5">
      <c r="A8" s="2413"/>
      <c r="B8" s="2017"/>
      <c r="C8" s="2017"/>
      <c r="D8" s="2017"/>
      <c r="E8" s="2017"/>
      <c r="F8" s="2417"/>
      <c r="G8" s="2017"/>
      <c r="H8" s="2017"/>
      <c r="I8" s="2017"/>
      <c r="J8" s="2414"/>
      <c r="K8" s="2017"/>
      <c r="L8" s="2017"/>
      <c r="M8" s="2017"/>
      <c r="N8" s="2017"/>
      <c r="O8" s="2017"/>
      <c r="P8" s="2184"/>
      <c r="Q8" s="2017"/>
      <c r="R8" s="2017"/>
      <c r="S8" s="2017"/>
      <c r="T8" s="2017"/>
      <c r="U8" s="2017"/>
      <c r="V8" s="2017"/>
      <c r="W8" s="2017"/>
      <c r="X8" s="2017"/>
      <c r="Y8" s="2017"/>
      <c r="Z8" s="2017"/>
      <c r="AA8" s="2017"/>
      <c r="AB8" s="3935" t="str">
        <f>+'Cashflow Governmental'!AB12:AJ12</f>
        <v>1 Month Ended April 30</v>
      </c>
      <c r="AC8" s="3935"/>
      <c r="AD8" s="3935"/>
      <c r="AE8" s="3935"/>
      <c r="AF8" s="3935"/>
      <c r="AG8" s="3935"/>
      <c r="AH8" s="3935"/>
      <c r="AI8" s="3935"/>
      <c r="AJ8" s="3935"/>
      <c r="AK8" s="3935"/>
    </row>
    <row r="9" spans="1:37" ht="15" customHeight="1">
      <c r="A9" s="2413"/>
      <c r="B9" s="2014"/>
      <c r="C9" s="2014"/>
      <c r="D9" s="2424" t="str">
        <f>'Cashflow Governmental'!C13</f>
        <v>2021</v>
      </c>
      <c r="E9" s="2425"/>
      <c r="F9" s="2425"/>
      <c r="G9" s="2425"/>
      <c r="H9" s="2425"/>
      <c r="I9" s="2425"/>
      <c r="J9" s="2425"/>
      <c r="K9" s="2425"/>
      <c r="L9" s="2425"/>
      <c r="M9" s="2425"/>
      <c r="N9" s="2425"/>
      <c r="O9" s="2425"/>
      <c r="P9" s="3072"/>
      <c r="Q9" s="2425"/>
      <c r="R9" s="2425"/>
      <c r="S9" s="2425"/>
      <c r="T9" s="2425"/>
      <c r="U9" s="2425"/>
      <c r="V9" s="2424">
        <f>'Cashflow Governmental'!U13</f>
        <v>2022</v>
      </c>
      <c r="W9" s="2425"/>
      <c r="X9" s="2425"/>
      <c r="Y9" s="2425"/>
      <c r="Z9" s="2425"/>
      <c r="AA9" s="2419"/>
      <c r="AB9" s="2418"/>
      <c r="AC9" s="2428"/>
      <c r="AD9" s="1843"/>
      <c r="AE9" s="1843"/>
      <c r="AF9" s="2428"/>
      <c r="AG9" s="2426"/>
      <c r="AH9" s="2429"/>
      <c r="AI9" s="2430" t="s">
        <v>7</v>
      </c>
      <c r="AJ9" s="2426"/>
      <c r="AK9" s="2431" t="s">
        <v>8</v>
      </c>
    </row>
    <row r="10" spans="1:37" ht="15" customHeight="1">
      <c r="A10" s="2413"/>
      <c r="B10" s="2014"/>
      <c r="C10" s="2014"/>
      <c r="D10" s="2432" t="s">
        <v>123</v>
      </c>
      <c r="E10" s="2418"/>
      <c r="F10" s="2433" t="s">
        <v>124</v>
      </c>
      <c r="G10" s="2418"/>
      <c r="H10" s="2433" t="s">
        <v>125</v>
      </c>
      <c r="I10" s="2418"/>
      <c r="J10" s="2434" t="s">
        <v>126</v>
      </c>
      <c r="K10" s="2418"/>
      <c r="L10" s="2435" t="s">
        <v>127</v>
      </c>
      <c r="M10" s="2418"/>
      <c r="N10" s="2435" t="s">
        <v>142</v>
      </c>
      <c r="O10" s="2418"/>
      <c r="P10" s="2579" t="s">
        <v>143</v>
      </c>
      <c r="Q10" s="2418"/>
      <c r="R10" s="2435" t="s">
        <v>130</v>
      </c>
      <c r="S10" s="2418"/>
      <c r="T10" s="2435" t="s">
        <v>131</v>
      </c>
      <c r="U10" s="2418"/>
      <c r="V10" s="2435" t="s">
        <v>132</v>
      </c>
      <c r="W10" s="2418"/>
      <c r="X10" s="2435" t="s">
        <v>133</v>
      </c>
      <c r="Y10" s="2418"/>
      <c r="Z10" s="2435" t="s">
        <v>184</v>
      </c>
      <c r="AA10" s="2431"/>
      <c r="AB10" s="2418"/>
      <c r="AC10" s="3138">
        <f>'Cashflow Governmental'!AB14</f>
        <v>2021</v>
      </c>
      <c r="AD10" s="2543" t="s">
        <v>14</v>
      </c>
      <c r="AE10" s="2543"/>
      <c r="AF10" s="3138">
        <f>'Cashflow Governmental'!AE14</f>
        <v>2020</v>
      </c>
      <c r="AG10" s="2436"/>
      <c r="AH10" s="2429"/>
      <c r="AI10" s="2437" t="s">
        <v>11</v>
      </c>
      <c r="AJ10" s="2419"/>
      <c r="AK10" s="2438" t="s">
        <v>12</v>
      </c>
    </row>
    <row r="11" spans="1:37" ht="5.25" customHeight="1">
      <c r="A11" s="2413"/>
      <c r="B11" s="2014"/>
      <c r="C11" s="2014"/>
      <c r="D11" s="2439" t="s">
        <v>14</v>
      </c>
      <c r="E11" s="2014"/>
      <c r="F11" s="2440"/>
      <c r="G11" s="2014"/>
      <c r="H11" s="2439"/>
      <c r="I11" s="2014"/>
      <c r="J11" s="2043"/>
      <c r="K11" s="2014"/>
      <c r="L11" s="2439"/>
      <c r="M11" s="2014"/>
      <c r="N11" s="2439"/>
      <c r="O11" s="2014"/>
      <c r="P11" s="3041"/>
      <c r="Q11" s="2014"/>
      <c r="R11" s="2439"/>
      <c r="S11" s="2014"/>
      <c r="T11" s="2439"/>
      <c r="U11" s="2014"/>
      <c r="V11" s="2439"/>
      <c r="W11" s="2014"/>
      <c r="X11" s="2439"/>
      <c r="Y11" s="2014"/>
      <c r="Z11" s="2439"/>
      <c r="AA11" s="2013"/>
      <c r="AB11" s="2014"/>
      <c r="AC11" s="2176"/>
      <c r="AD11" s="2177"/>
      <c r="AE11" s="2177"/>
      <c r="AF11" s="2176"/>
      <c r="AG11" s="2013"/>
      <c r="AH11" s="2441"/>
    </row>
    <row r="12" spans="1:37" ht="15" customHeight="1">
      <c r="A12" s="2442"/>
      <c r="B12" s="2443" t="s">
        <v>135</v>
      </c>
      <c r="C12" s="2036"/>
      <c r="D12" s="2444">
        <v>9160.7999999999993</v>
      </c>
      <c r="E12" s="2445"/>
      <c r="F12" s="2446"/>
      <c r="G12" s="2445"/>
      <c r="H12" s="2446"/>
      <c r="I12" s="2445"/>
      <c r="J12" s="2446"/>
      <c r="K12" s="2445"/>
      <c r="L12" s="2446"/>
      <c r="M12" s="2445"/>
      <c r="N12" s="2446"/>
      <c r="O12" s="2445"/>
      <c r="P12" s="2021"/>
      <c r="Q12" s="2445"/>
      <c r="R12" s="2021"/>
      <c r="S12" s="2445"/>
      <c r="T12" s="2446"/>
      <c r="U12" s="2445"/>
      <c r="V12" s="2446"/>
      <c r="W12" s="2446"/>
      <c r="X12" s="2446"/>
      <c r="Y12" s="2445"/>
      <c r="Z12" s="2446"/>
      <c r="AA12" s="2445"/>
      <c r="AB12" s="2447"/>
      <c r="AC12" s="2021">
        <f>D12</f>
        <v>9160.7999999999993</v>
      </c>
      <c r="AD12" s="2448"/>
      <c r="AE12" s="3139"/>
      <c r="AF12" s="3455">
        <v>8944.2000000000007</v>
      </c>
      <c r="AG12" s="2445"/>
      <c r="AH12" s="2449"/>
      <c r="AI12" s="2446">
        <f>ROUND(SUM(+AC12-AF12),1)</f>
        <v>216.6</v>
      </c>
      <c r="AJ12" s="2450"/>
      <c r="AK12" s="1424">
        <f>ROUND(IF(AF12=0,0,AI12/ABS(AF12)),3)</f>
        <v>2.4E-2</v>
      </c>
    </row>
    <row r="13" spans="1:37" ht="15" customHeight="1">
      <c r="A13" s="2442"/>
      <c r="B13" s="2036"/>
      <c r="C13" s="2036"/>
      <c r="D13" s="2036"/>
      <c r="E13" s="2036"/>
      <c r="F13" s="2451"/>
      <c r="G13" s="2036"/>
      <c r="H13" s="2451"/>
      <c r="I13" s="2036"/>
      <c r="J13" s="1987"/>
      <c r="K13" s="2036"/>
      <c r="L13" s="2451"/>
      <c r="M13" s="2036"/>
      <c r="N13" s="2014"/>
      <c r="O13" s="2036"/>
      <c r="P13" s="2177"/>
      <c r="Q13" s="2036"/>
      <c r="R13" s="2014"/>
      <c r="S13" s="2036"/>
      <c r="T13" s="2014"/>
      <c r="U13" s="2036"/>
      <c r="V13" s="2014"/>
      <c r="W13" s="2036"/>
      <c r="X13" s="2014"/>
      <c r="Y13" s="2036"/>
      <c r="Z13" s="2014"/>
      <c r="AA13" s="2014"/>
      <c r="AB13" s="2035"/>
      <c r="AC13" s="2177"/>
      <c r="AD13" s="2456"/>
      <c r="AE13" s="3140"/>
      <c r="AF13" s="2177"/>
      <c r="AG13" s="2014"/>
      <c r="AH13" s="2441"/>
      <c r="AI13" s="2017"/>
      <c r="AJ13" s="2452"/>
      <c r="AK13" s="1442"/>
    </row>
    <row r="14" spans="1:37" ht="15" customHeight="1">
      <c r="A14" s="2442"/>
      <c r="B14" s="2418" t="s">
        <v>13</v>
      </c>
      <c r="C14" s="2036"/>
      <c r="D14" s="2036"/>
      <c r="E14" s="2036"/>
      <c r="F14" s="2014"/>
      <c r="G14" s="2036"/>
      <c r="H14" s="2014"/>
      <c r="I14" s="2036"/>
      <c r="J14" s="1987"/>
      <c r="K14" s="2036"/>
      <c r="L14" s="2014"/>
      <c r="M14" s="2036"/>
      <c r="N14" s="2014"/>
      <c r="O14" s="2036"/>
      <c r="P14" s="2177"/>
      <c r="Q14" s="2036"/>
      <c r="R14" s="2014"/>
      <c r="S14" s="2036"/>
      <c r="T14" s="2014"/>
      <c r="U14" s="2036"/>
      <c r="V14" s="2014"/>
      <c r="W14" s="2036"/>
      <c r="X14" s="2014"/>
      <c r="Y14" s="2036"/>
      <c r="Z14" s="2014"/>
      <c r="AA14" s="2014"/>
      <c r="AB14" s="2035"/>
      <c r="AC14" s="2177"/>
      <c r="AD14" s="2456"/>
      <c r="AE14" s="3140"/>
      <c r="AF14" s="2177"/>
      <c r="AG14" s="2014"/>
      <c r="AH14" s="2441"/>
      <c r="AI14" s="2017"/>
      <c r="AJ14" s="2452"/>
      <c r="AK14" s="1442"/>
    </row>
    <row r="15" spans="1:37" ht="15" customHeight="1">
      <c r="A15" s="2442"/>
      <c r="B15" s="2453" t="s">
        <v>997</v>
      </c>
      <c r="C15" s="2036"/>
      <c r="D15" s="2036"/>
      <c r="E15" s="2036"/>
      <c r="F15" s="2014"/>
      <c r="G15" s="2036"/>
      <c r="H15" s="2014"/>
      <c r="I15" s="2036"/>
      <c r="J15" s="1987"/>
      <c r="K15" s="2036"/>
      <c r="L15" s="2014"/>
      <c r="M15" s="2036"/>
      <c r="N15" s="2014"/>
      <c r="O15" s="2036"/>
      <c r="P15" s="2177"/>
      <c r="Q15" s="2036"/>
      <c r="R15" s="2014"/>
      <c r="S15" s="2036"/>
      <c r="T15" s="2014"/>
      <c r="U15" s="2036"/>
      <c r="V15" s="2014"/>
      <c r="W15" s="2036"/>
      <c r="X15" s="2014"/>
      <c r="Y15" s="2036"/>
      <c r="Z15" s="2014"/>
      <c r="AA15" s="2014"/>
      <c r="AB15" s="2035"/>
      <c r="AC15" s="2177"/>
      <c r="AD15" s="2456"/>
      <c r="AE15" s="3140"/>
      <c r="AF15" s="2177"/>
      <c r="AG15" s="2014"/>
      <c r="AH15" s="2441"/>
      <c r="AI15" s="2017"/>
      <c r="AJ15" s="2452"/>
      <c r="AK15" s="1442"/>
    </row>
    <row r="16" spans="1:37" ht="15" customHeight="1">
      <c r="A16" s="2442"/>
      <c r="B16" s="2454" t="s">
        <v>1062</v>
      </c>
      <c r="C16" s="2036"/>
      <c r="D16" s="2036"/>
      <c r="E16" s="2036"/>
      <c r="F16" s="2014"/>
      <c r="G16" s="2036"/>
      <c r="H16" s="2014"/>
      <c r="I16" s="2036"/>
      <c r="J16" s="1987"/>
      <c r="K16" s="2036"/>
      <c r="L16" s="2014"/>
      <c r="M16" s="2036"/>
      <c r="N16" s="2014"/>
      <c r="O16" s="2036"/>
      <c r="P16" s="2177"/>
      <c r="Q16" s="2036"/>
      <c r="R16" s="2014"/>
      <c r="S16" s="2036"/>
      <c r="T16" s="2014"/>
      <c r="U16" s="2036"/>
      <c r="V16" s="2014"/>
      <c r="W16" s="2036"/>
      <c r="X16" s="2014"/>
      <c r="Y16" s="2036"/>
      <c r="Z16" s="2014"/>
      <c r="AA16" s="2014"/>
      <c r="AB16" s="2035"/>
      <c r="AC16" s="2177"/>
      <c r="AD16" s="2456"/>
      <c r="AE16" s="3140"/>
      <c r="AF16" s="2177"/>
      <c r="AG16" s="2014"/>
      <c r="AH16" s="2441"/>
      <c r="AI16" s="2017"/>
      <c r="AJ16" s="2452"/>
      <c r="AK16" s="1442"/>
    </row>
    <row r="17" spans="1:38" s="2410" customFormat="1" ht="15" customHeight="1">
      <c r="A17" s="2455"/>
      <c r="B17" s="2326" t="s">
        <v>1003</v>
      </c>
      <c r="C17" s="2456"/>
      <c r="D17" s="3876">
        <f>$AC17</f>
        <v>3601.8</v>
      </c>
      <c r="E17" s="1482"/>
      <c r="F17" s="1781"/>
      <c r="G17" s="1482"/>
      <c r="H17" s="1781"/>
      <c r="I17" s="2457"/>
      <c r="J17" s="1781"/>
      <c r="K17" s="1781"/>
      <c r="L17" s="1781"/>
      <c r="M17" s="1990"/>
      <c r="N17" s="1781"/>
      <c r="O17" s="1990"/>
      <c r="P17" s="1781"/>
      <c r="Q17" s="1990"/>
      <c r="R17" s="1781"/>
      <c r="S17" s="1990"/>
      <c r="T17" s="1781"/>
      <c r="U17" s="1990"/>
      <c r="V17" s="1781"/>
      <c r="W17" s="1990"/>
      <c r="X17" s="1781"/>
      <c r="Y17" s="1990"/>
      <c r="Z17" s="1781"/>
      <c r="AA17" s="1991"/>
      <c r="AB17" s="1994"/>
      <c r="AC17" s="1797">
        <v>3601.8</v>
      </c>
      <c r="AD17" s="2033"/>
      <c r="AE17" s="1994" t="s">
        <v>14</v>
      </c>
      <c r="AF17" s="1797">
        <v>3187.3</v>
      </c>
      <c r="AG17" s="2177"/>
      <c r="AH17" s="2458"/>
      <c r="AI17" s="1992">
        <f>ROUND(SUM(+AC17-AF17),1)</f>
        <v>414.5</v>
      </c>
      <c r="AJ17" s="2459"/>
      <c r="AK17" s="1716">
        <f t="shared" ref="AK17:AK21" si="0">ROUND(IF(AF17=0,0,AI17/ABS(AF17)),3)</f>
        <v>0.13</v>
      </c>
      <c r="AL17" s="2408"/>
    </row>
    <row r="18" spans="1:38" s="2410" customFormat="1" ht="15" customHeight="1">
      <c r="A18" s="2455"/>
      <c r="B18" s="2326" t="s">
        <v>1270</v>
      </c>
      <c r="C18" s="2456"/>
      <c r="D18" s="3876">
        <f t="shared" ref="D18:D21" si="1">$AC18</f>
        <v>3342.2000000000003</v>
      </c>
      <c r="E18" s="1414"/>
      <c r="F18" s="1781"/>
      <c r="G18" s="1414"/>
      <c r="H18" s="1781"/>
      <c r="I18" s="2460"/>
      <c r="J18" s="1781"/>
      <c r="K18" s="1990"/>
      <c r="L18" s="1781"/>
      <c r="M18" s="1990"/>
      <c r="N18" s="1781"/>
      <c r="O18" s="1990"/>
      <c r="P18" s="1781"/>
      <c r="Q18" s="1990"/>
      <c r="R18" s="1781"/>
      <c r="S18" s="1990"/>
      <c r="T18" s="1781"/>
      <c r="U18" s="1990"/>
      <c r="V18" s="1781"/>
      <c r="W18" s="1990"/>
      <c r="X18" s="1781"/>
      <c r="Y18" s="1990"/>
      <c r="Z18" s="1781"/>
      <c r="AA18" s="1991"/>
      <c r="AB18" s="1994"/>
      <c r="AC18" s="1797">
        <v>3342.2000000000003</v>
      </c>
      <c r="AD18" s="2033"/>
      <c r="AE18" s="1994" t="s">
        <v>14</v>
      </c>
      <c r="AF18" s="1797">
        <v>211.6</v>
      </c>
      <c r="AG18" s="2177"/>
      <c r="AH18" s="2458"/>
      <c r="AI18" s="1992">
        <f>ROUND(SUM(+AC18-AF18),1)</f>
        <v>3130.6</v>
      </c>
      <c r="AJ18" s="2459"/>
      <c r="AK18" s="1721">
        <f t="shared" si="0"/>
        <v>14.795</v>
      </c>
      <c r="AL18" s="2408"/>
    </row>
    <row r="19" spans="1:38" s="2410" customFormat="1" ht="15" customHeight="1">
      <c r="A19" s="2455"/>
      <c r="B19" s="2326" t="s">
        <v>1004</v>
      </c>
      <c r="C19" s="2456"/>
      <c r="D19" s="3876">
        <f t="shared" si="1"/>
        <v>913.6</v>
      </c>
      <c r="E19" s="1414"/>
      <c r="F19" s="1781"/>
      <c r="G19" s="1414"/>
      <c r="H19" s="1781"/>
      <c r="I19" s="2460"/>
      <c r="J19" s="1781"/>
      <c r="K19" s="1990"/>
      <c r="L19" s="1781"/>
      <c r="M19" s="1990"/>
      <c r="N19" s="1781"/>
      <c r="O19" s="1990"/>
      <c r="P19" s="1781"/>
      <c r="Q19" s="1990"/>
      <c r="R19" s="1781"/>
      <c r="S19" s="1990"/>
      <c r="T19" s="1781"/>
      <c r="U19" s="1990"/>
      <c r="V19" s="1781"/>
      <c r="W19" s="1990"/>
      <c r="X19" s="1781"/>
      <c r="Y19" s="1990"/>
      <c r="Z19" s="1781"/>
      <c r="AA19" s="1991"/>
      <c r="AB19" s="1994"/>
      <c r="AC19" s="1797">
        <v>913.6</v>
      </c>
      <c r="AD19" s="2033"/>
      <c r="AE19" s="1994" t="s">
        <v>14</v>
      </c>
      <c r="AF19" s="1797">
        <v>339.1</v>
      </c>
      <c r="AG19" s="2177"/>
      <c r="AH19" s="2458"/>
      <c r="AI19" s="1992">
        <f>ROUND(SUM(+AC19-AF19),1)</f>
        <v>574.5</v>
      </c>
      <c r="AJ19" s="2459"/>
      <c r="AK19" s="1716">
        <f t="shared" si="0"/>
        <v>1.694</v>
      </c>
      <c r="AL19" s="2408"/>
    </row>
    <row r="20" spans="1:38" s="2410" customFormat="1" ht="15" customHeight="1">
      <c r="A20" s="2455"/>
      <c r="B20" s="2461" t="s">
        <v>1005</v>
      </c>
      <c r="C20" s="2456"/>
      <c r="D20" s="3876">
        <f t="shared" si="1"/>
        <v>-203</v>
      </c>
      <c r="E20" s="1414"/>
      <c r="F20" s="1781"/>
      <c r="G20" s="1414"/>
      <c r="H20" s="1781"/>
      <c r="I20" s="2460"/>
      <c r="J20" s="1781"/>
      <c r="K20" s="1990"/>
      <c r="L20" s="1781"/>
      <c r="M20" s="1990"/>
      <c r="N20" s="1781"/>
      <c r="O20" s="1990"/>
      <c r="P20" s="1781"/>
      <c r="Q20" s="1990"/>
      <c r="R20" s="1781"/>
      <c r="S20" s="1990"/>
      <c r="T20" s="1781"/>
      <c r="U20" s="1990"/>
      <c r="V20" s="1781"/>
      <c r="W20" s="1990"/>
      <c r="X20" s="1781"/>
      <c r="Y20" s="1990"/>
      <c r="Z20" s="1781"/>
      <c r="AA20" s="1991"/>
      <c r="AB20" s="1994"/>
      <c r="AC20" s="1797">
        <v>-203</v>
      </c>
      <c r="AD20" s="2033"/>
      <c r="AE20" s="1994" t="s">
        <v>14</v>
      </c>
      <c r="AF20" s="1797">
        <v>-69.8</v>
      </c>
      <c r="AG20" s="2177"/>
      <c r="AH20" s="2458"/>
      <c r="AI20" s="1992">
        <f>-ROUND(SUM(+AC20-AF20),1)</f>
        <v>133.19999999999999</v>
      </c>
      <c r="AJ20" s="2459"/>
      <c r="AK20" s="1716">
        <f t="shared" si="0"/>
        <v>1.9079999999999999</v>
      </c>
      <c r="AL20" s="2408"/>
    </row>
    <row r="21" spans="1:38" s="2410" customFormat="1" ht="15" customHeight="1">
      <c r="A21" s="2455"/>
      <c r="B21" s="2461" t="s">
        <v>1269</v>
      </c>
      <c r="C21" s="2456"/>
      <c r="D21" s="3876">
        <f t="shared" si="1"/>
        <v>154.1</v>
      </c>
      <c r="E21" s="1414"/>
      <c r="F21" s="1781"/>
      <c r="G21" s="1414"/>
      <c r="H21" s="1781"/>
      <c r="I21" s="2460"/>
      <c r="J21" s="1781"/>
      <c r="K21" s="1990"/>
      <c r="L21" s="1781"/>
      <c r="M21" s="1990"/>
      <c r="N21" s="1781"/>
      <c r="O21" s="1990"/>
      <c r="P21" s="1781"/>
      <c r="Q21" s="1990"/>
      <c r="R21" s="1781"/>
      <c r="S21" s="1990"/>
      <c r="T21" s="1781"/>
      <c r="U21" s="1990"/>
      <c r="V21" s="1781"/>
      <c r="W21" s="1990"/>
      <c r="X21" s="1781"/>
      <c r="Y21" s="1990"/>
      <c r="Z21" s="1781"/>
      <c r="AA21" s="1991"/>
      <c r="AB21" s="1994"/>
      <c r="AC21" s="1797">
        <v>154.1</v>
      </c>
      <c r="AD21" s="2033"/>
      <c r="AE21" s="1994" t="s">
        <v>14</v>
      </c>
      <c r="AF21" s="1797">
        <v>107.4</v>
      </c>
      <c r="AG21" s="2177"/>
      <c r="AH21" s="2458"/>
      <c r="AI21" s="1992">
        <f>ROUND(SUM(+AC21-AF21),1)</f>
        <v>46.7</v>
      </c>
      <c r="AJ21" s="2459"/>
      <c r="AK21" s="1716">
        <f t="shared" si="0"/>
        <v>0.435</v>
      </c>
      <c r="AL21" s="2408"/>
    </row>
    <row r="22" spans="1:38" ht="15" customHeight="1">
      <c r="A22" s="2442"/>
      <c r="B22" s="2307" t="s">
        <v>1006</v>
      </c>
      <c r="C22" s="2036"/>
      <c r="D22" s="2462">
        <f>ROUND(SUM(D17:D21),1)</f>
        <v>7808.7</v>
      </c>
      <c r="E22" s="2460"/>
      <c r="F22" s="2463">
        <f>ROUND(SUM(F17:F21),1)</f>
        <v>0</v>
      </c>
      <c r="G22" s="2460"/>
      <c r="H22" s="2462">
        <f>ROUND(SUM(H17:H21),1)</f>
        <v>0</v>
      </c>
      <c r="I22" s="2460"/>
      <c r="J22" s="2463">
        <f>ROUND(SUM(J17:J21),1)</f>
        <v>0</v>
      </c>
      <c r="K22" s="2036"/>
      <c r="L22" s="2034">
        <f>ROUND(SUM(L17:L21),1)</f>
        <v>0</v>
      </c>
      <c r="M22" s="2036"/>
      <c r="N22" s="2034">
        <f>ROUND(SUM(N17:N21),1)</f>
        <v>0</v>
      </c>
      <c r="O22" s="1998"/>
      <c r="P22" s="2034">
        <f>ROUND(SUM(P17:P21),1)</f>
        <v>0</v>
      </c>
      <c r="Q22" s="1998"/>
      <c r="R22" s="2034">
        <f>ROUND(SUM(R17:R21),1)</f>
        <v>0</v>
      </c>
      <c r="S22" s="1998"/>
      <c r="T22" s="2034">
        <f>ROUND(SUM(T17:T21),1)</f>
        <v>0</v>
      </c>
      <c r="U22" s="1998"/>
      <c r="V22" s="2034">
        <f>ROUND(SUM(V17:V21),1)</f>
        <v>0</v>
      </c>
      <c r="W22" s="1998"/>
      <c r="X22" s="2034">
        <f>ROUND(SUM(X17:X21),1)</f>
        <v>0</v>
      </c>
      <c r="Y22" s="1998"/>
      <c r="Z22" s="2034">
        <f>ROUND(SUM(Z17:Z21),1)</f>
        <v>0</v>
      </c>
      <c r="AA22" s="2014"/>
      <c r="AB22" s="2035"/>
      <c r="AC22" s="3141">
        <f>ROUND(SUM(AC17:AC21),1)</f>
        <v>7808.7</v>
      </c>
      <c r="AD22" s="2456"/>
      <c r="AE22" s="3142" t="s">
        <v>14</v>
      </c>
      <c r="AF22" s="1453">
        <f>ROUND(SUM(AF17:AF21),1)</f>
        <v>3775.6</v>
      </c>
      <c r="AG22" s="2014"/>
      <c r="AH22" s="2441"/>
      <c r="AI22" s="2034">
        <f>ROUND(SUM(AC22-AF22),1)</f>
        <v>4033.1</v>
      </c>
      <c r="AJ22" s="2452"/>
      <c r="AK22" s="1438">
        <f>ROUND(SUM(+AI22/AF22),3)</f>
        <v>1.0680000000000001</v>
      </c>
    </row>
    <row r="23" spans="1:38" s="2410" customFormat="1" ht="15" customHeight="1">
      <c r="A23" s="2455"/>
      <c r="B23" s="2461" t="s">
        <v>1008</v>
      </c>
      <c r="C23" s="2456"/>
      <c r="D23" s="3876">
        <f t="shared" ref="D23:D25" si="2">$AC23</f>
        <v>0</v>
      </c>
      <c r="E23" s="1414"/>
      <c r="F23" s="1781"/>
      <c r="G23" s="1414"/>
      <c r="H23" s="1781"/>
      <c r="I23" s="2460"/>
      <c r="J23" s="1781"/>
      <c r="K23" s="1990"/>
      <c r="L23" s="1781"/>
      <c r="M23" s="1990"/>
      <c r="N23" s="1781"/>
      <c r="O23" s="1990"/>
      <c r="P23" s="1781"/>
      <c r="Q23" s="1990"/>
      <c r="R23" s="1781"/>
      <c r="S23" s="1990"/>
      <c r="T23" s="1781"/>
      <c r="U23" s="1990"/>
      <c r="V23" s="1781"/>
      <c r="W23" s="1990"/>
      <c r="X23" s="1781"/>
      <c r="Y23" s="1990"/>
      <c r="Z23" s="1781"/>
      <c r="AA23" s="1991"/>
      <c r="AB23" s="1994"/>
      <c r="AC23" s="1797">
        <v>0</v>
      </c>
      <c r="AD23" s="2033"/>
      <c r="AE23" s="1994" t="s">
        <v>14</v>
      </c>
      <c r="AF23" s="1797">
        <v>0</v>
      </c>
      <c r="AG23" s="2177"/>
      <c r="AH23" s="2458"/>
      <c r="AI23" s="1992">
        <f>-ROUND(SUM(+AC23-AF23),1)</f>
        <v>0</v>
      </c>
      <c r="AJ23" s="2459"/>
      <c r="AK23" s="1431">
        <f>ROUND(IF(AF23=0,1,AI23/ABS(AF23)),3)</f>
        <v>1</v>
      </c>
      <c r="AL23" s="2408"/>
    </row>
    <row r="24" spans="1:38" s="2410" customFormat="1" ht="15" customHeight="1">
      <c r="A24" s="2455"/>
      <c r="B24" s="2461" t="s">
        <v>1009</v>
      </c>
      <c r="C24" s="2456"/>
      <c r="D24" s="3876">
        <f t="shared" si="2"/>
        <v>-3262.9</v>
      </c>
      <c r="E24" s="1414"/>
      <c r="F24" s="1781"/>
      <c r="G24" s="1414"/>
      <c r="H24" s="1781"/>
      <c r="I24" s="2460"/>
      <c r="J24" s="1781"/>
      <c r="K24" s="1990"/>
      <c r="L24" s="1781"/>
      <c r="M24" s="1990"/>
      <c r="N24" s="1781"/>
      <c r="O24" s="1990"/>
      <c r="P24" s="1781"/>
      <c r="Q24" s="1990"/>
      <c r="R24" s="1781"/>
      <c r="S24" s="1990"/>
      <c r="T24" s="1781"/>
      <c r="U24" s="1990"/>
      <c r="V24" s="1781"/>
      <c r="W24" s="1990"/>
      <c r="X24" s="1781"/>
      <c r="Y24" s="1990"/>
      <c r="Z24" s="1781"/>
      <c r="AA24" s="1991"/>
      <c r="AB24" s="1994"/>
      <c r="AC24" s="1797">
        <v>-3262.9</v>
      </c>
      <c r="AD24" s="2033"/>
      <c r="AE24" s="1994" t="s">
        <v>14</v>
      </c>
      <c r="AF24" s="1797">
        <v>-1033.0999999999999</v>
      </c>
      <c r="AG24" s="2177"/>
      <c r="AH24" s="2458"/>
      <c r="AI24" s="1992">
        <f>-ROUND(SUM(+AC24-AF24),1)</f>
        <v>2229.8000000000002</v>
      </c>
      <c r="AJ24" s="2459"/>
      <c r="AK24" s="1716">
        <f>ROUND(IF(AF24=0,0,AI24/ABS(AF24)),3)</f>
        <v>2.1579999999999999</v>
      </c>
      <c r="AL24" s="2408"/>
    </row>
    <row r="25" spans="1:38" s="2410" customFormat="1" ht="15" customHeight="1">
      <c r="A25" s="2455"/>
      <c r="B25" s="2326" t="s">
        <v>1271</v>
      </c>
      <c r="C25" s="2456"/>
      <c r="D25" s="3876">
        <f t="shared" si="2"/>
        <v>-1282.9000000000001</v>
      </c>
      <c r="E25" s="1414"/>
      <c r="F25" s="1781"/>
      <c r="G25" s="1414"/>
      <c r="H25" s="1781"/>
      <c r="I25" s="2460"/>
      <c r="J25" s="1781"/>
      <c r="K25" s="1990"/>
      <c r="L25" s="1781"/>
      <c r="M25" s="1990"/>
      <c r="N25" s="1781"/>
      <c r="O25" s="1990"/>
      <c r="P25" s="1781"/>
      <c r="Q25" s="1990"/>
      <c r="R25" s="1781"/>
      <c r="S25" s="1990"/>
      <c r="T25" s="1781"/>
      <c r="U25" s="1990"/>
      <c r="V25" s="1781"/>
      <c r="W25" s="1990"/>
      <c r="X25" s="1781"/>
      <c r="Y25" s="1990"/>
      <c r="Z25" s="1781"/>
      <c r="AA25" s="1991"/>
      <c r="AB25" s="1994"/>
      <c r="AC25" s="1797">
        <v>-1282.9000000000001</v>
      </c>
      <c r="AD25" s="2033"/>
      <c r="AE25" s="1994" t="s">
        <v>14</v>
      </c>
      <c r="AF25" s="1797">
        <v>-1709.4</v>
      </c>
      <c r="AG25" s="2177"/>
      <c r="AH25" s="2458"/>
      <c r="AI25" s="1992">
        <f>-ROUND(SUM(+AC25-AF25),1)</f>
        <v>-426.5</v>
      </c>
      <c r="AJ25" s="2459"/>
      <c r="AK25" s="1716">
        <f>ROUND(IF(AF25=0,0,AI25/ABS(AF25)),3)</f>
        <v>-0.25</v>
      </c>
      <c r="AL25" s="2408"/>
    </row>
    <row r="26" spans="1:38" ht="15" customHeight="1">
      <c r="A26" s="2442"/>
      <c r="B26" s="2464" t="s">
        <v>1007</v>
      </c>
      <c r="C26" s="2014"/>
      <c r="D26" s="2465">
        <f>ROUND(SUM(D22:D25),1)</f>
        <v>3262.9</v>
      </c>
      <c r="E26" s="1436"/>
      <c r="F26" s="2466">
        <f>ROUND(SUM(F22+F23+F24+F25),1)</f>
        <v>0</v>
      </c>
      <c r="G26" s="1436"/>
      <c r="H26" s="2465">
        <f>ROUND(SUM(H22+H23+H24+H25),1)</f>
        <v>0</v>
      </c>
      <c r="I26" s="1436"/>
      <c r="J26" s="2466">
        <f>ROUND(SUM(J22+J23+J24+J25),1)</f>
        <v>0</v>
      </c>
      <c r="K26" s="1998"/>
      <c r="L26" s="2034">
        <f>ROUND(SUM(L22+L23+L24+L25),1)</f>
        <v>0</v>
      </c>
      <c r="M26" s="1998"/>
      <c r="N26" s="2034">
        <f>ROUND(SUM(N22+N23+N24+N25),1)</f>
        <v>0</v>
      </c>
      <c r="O26" s="1998"/>
      <c r="P26" s="2034">
        <f>ROUND(SUM(P22+P23+P24+P25),1)</f>
        <v>0</v>
      </c>
      <c r="Q26" s="1998"/>
      <c r="R26" s="2034">
        <f>ROUND(SUM(R22+R23+R24+R25),1)</f>
        <v>0</v>
      </c>
      <c r="S26" s="1998"/>
      <c r="T26" s="2034">
        <f>ROUND(SUM(T22+T23+T24+T25),1)</f>
        <v>0</v>
      </c>
      <c r="U26" s="1998"/>
      <c r="V26" s="2034">
        <f>ROUND(SUM(V22+V23+V24+V25),1)</f>
        <v>0</v>
      </c>
      <c r="W26" s="1998"/>
      <c r="X26" s="2034">
        <f>ROUND(SUM(X22+X23+X24+X25),1)</f>
        <v>0</v>
      </c>
      <c r="Y26" s="1998"/>
      <c r="Z26" s="2034">
        <f>ROUND(SUM(Z22+Z23+Z24+Z25),1)</f>
        <v>0</v>
      </c>
      <c r="AA26" s="1456"/>
      <c r="AB26" s="2035"/>
      <c r="AC26" s="3141">
        <f>ROUND(SUM(AC22+AC23+AC24+AC25),1)</f>
        <v>3262.9</v>
      </c>
      <c r="AD26" s="1987"/>
      <c r="AE26" s="1993" t="s">
        <v>14</v>
      </c>
      <c r="AF26" s="1453">
        <f>ROUND(SUM(AF22+AF23+AF24+AF25),1)</f>
        <v>1033.0999999999999</v>
      </c>
      <c r="AG26" s="1998"/>
      <c r="AH26" s="2467"/>
      <c r="AI26" s="2034">
        <f>ROUND(SUM(AI22-AI23-AI24-AI25),1)</f>
        <v>2229.8000000000002</v>
      </c>
      <c r="AJ26" s="2468"/>
      <c r="AK26" s="1438">
        <f>ROUND(SUM(+AI26/AF26),3)</f>
        <v>2.1579999999999999</v>
      </c>
    </row>
    <row r="27" spans="1:38" ht="15" customHeight="1">
      <c r="A27" s="2442"/>
      <c r="B27" s="2454" t="s">
        <v>1059</v>
      </c>
      <c r="C27" s="2014"/>
      <c r="D27" s="1437"/>
      <c r="E27" s="1436"/>
      <c r="F27" s="1455"/>
      <c r="G27" s="1436"/>
      <c r="H27" s="1437"/>
      <c r="I27" s="1436"/>
      <c r="J27" s="1455"/>
      <c r="K27" s="1998"/>
      <c r="L27" s="1437"/>
      <c r="M27" s="1998"/>
      <c r="N27" s="1437"/>
      <c r="O27" s="1998"/>
      <c r="P27" s="1455"/>
      <c r="Q27" s="1998"/>
      <c r="R27" s="1437"/>
      <c r="S27" s="1998"/>
      <c r="T27" s="1437"/>
      <c r="U27" s="1998"/>
      <c r="V27" s="1437"/>
      <c r="W27" s="1998"/>
      <c r="X27" s="1437"/>
      <c r="Y27" s="1998"/>
      <c r="Z27" s="1437"/>
      <c r="AA27" s="1456"/>
      <c r="AB27" s="2035"/>
      <c r="AC27" s="1455"/>
      <c r="AD27" s="1987"/>
      <c r="AE27" s="1993" t="s">
        <v>14</v>
      </c>
      <c r="AF27" s="1455"/>
      <c r="AG27" s="1998"/>
      <c r="AH27" s="2467"/>
      <c r="AI27" s="1437"/>
      <c r="AJ27" s="2468"/>
      <c r="AK27" s="2469"/>
    </row>
    <row r="28" spans="1:38" ht="15" customHeight="1">
      <c r="A28" s="2442"/>
      <c r="B28" s="2225" t="s">
        <v>1012</v>
      </c>
      <c r="C28" s="2014"/>
      <c r="D28" s="3876">
        <f t="shared" ref="D28:D35" si="3">$AC28</f>
        <v>292.8</v>
      </c>
      <c r="E28" s="1414"/>
      <c r="F28" s="1781"/>
      <c r="G28" s="1414"/>
      <c r="H28" s="1781"/>
      <c r="I28" s="1436"/>
      <c r="J28" s="1781"/>
      <c r="K28" s="1990"/>
      <c r="L28" s="1781"/>
      <c r="M28" s="1990"/>
      <c r="N28" s="1781"/>
      <c r="O28" s="1990"/>
      <c r="P28" s="1781"/>
      <c r="Q28" s="1990"/>
      <c r="R28" s="1781"/>
      <c r="S28" s="1990"/>
      <c r="T28" s="1781"/>
      <c r="U28" s="1990"/>
      <c r="V28" s="1781"/>
      <c r="W28" s="1990"/>
      <c r="X28" s="1781"/>
      <c r="Y28" s="1990"/>
      <c r="Z28" s="1781"/>
      <c r="AA28" s="1991"/>
      <c r="AB28" s="1994"/>
      <c r="AC28" s="1797">
        <v>292.8</v>
      </c>
      <c r="AD28" s="2033"/>
      <c r="AE28" s="1994" t="s">
        <v>14</v>
      </c>
      <c r="AF28" s="1797">
        <v>394.9</v>
      </c>
      <c r="AG28" s="1998"/>
      <c r="AH28" s="2467"/>
      <c r="AI28" s="1436">
        <f t="shared" ref="AI28:AI33" si="4">ROUND(SUM(+AC28-AF28),1)</f>
        <v>-102.1</v>
      </c>
      <c r="AJ28" s="2468"/>
      <c r="AK28" s="1431">
        <f t="shared" ref="AK28:AK33" si="5">ROUND(IF(AF28=0,0,AI28/ABS(AF28)),3)</f>
        <v>-0.25900000000000001</v>
      </c>
    </row>
    <row r="29" spans="1:38" ht="15" customHeight="1">
      <c r="A29" s="2442"/>
      <c r="B29" s="2225" t="s">
        <v>1013</v>
      </c>
      <c r="C29" s="2014"/>
      <c r="D29" s="3876">
        <f t="shared" si="3"/>
        <v>0</v>
      </c>
      <c r="E29" s="1414"/>
      <c r="F29" s="1781"/>
      <c r="G29" s="1414"/>
      <c r="H29" s="1781"/>
      <c r="I29" s="1436"/>
      <c r="J29" s="1781"/>
      <c r="K29" s="1990"/>
      <c r="L29" s="1781"/>
      <c r="M29" s="1990"/>
      <c r="N29" s="1781"/>
      <c r="O29" s="1990"/>
      <c r="P29" s="1781"/>
      <c r="Q29" s="1990"/>
      <c r="R29" s="1781"/>
      <c r="S29" s="1990"/>
      <c r="T29" s="1781"/>
      <c r="U29" s="1990"/>
      <c r="V29" s="1781"/>
      <c r="W29" s="1990"/>
      <c r="X29" s="1781"/>
      <c r="Y29" s="1990"/>
      <c r="Z29" s="1781"/>
      <c r="AA29" s="1991"/>
      <c r="AB29" s="1994"/>
      <c r="AC29" s="1797">
        <v>0</v>
      </c>
      <c r="AD29" s="2033"/>
      <c r="AE29" s="1994" t="s">
        <v>14</v>
      </c>
      <c r="AF29" s="1797">
        <v>0</v>
      </c>
      <c r="AG29" s="1998"/>
      <c r="AH29" s="2467"/>
      <c r="AI29" s="1436">
        <f t="shared" si="4"/>
        <v>0</v>
      </c>
      <c r="AJ29" s="2468"/>
      <c r="AK29" s="1431">
        <f t="shared" si="5"/>
        <v>0</v>
      </c>
    </row>
    <row r="30" spans="1:38" ht="15" customHeight="1">
      <c r="A30" s="2442"/>
      <c r="B30" s="2225" t="s">
        <v>1014</v>
      </c>
      <c r="C30" s="2014"/>
      <c r="D30" s="3876">
        <f t="shared" si="3"/>
        <v>28.6</v>
      </c>
      <c r="E30" s="1414"/>
      <c r="F30" s="1781"/>
      <c r="G30" s="1414"/>
      <c r="H30" s="1781"/>
      <c r="I30" s="1436"/>
      <c r="J30" s="1781"/>
      <c r="K30" s="1990"/>
      <c r="L30" s="1781"/>
      <c r="M30" s="1990"/>
      <c r="N30" s="1781"/>
      <c r="O30" s="1990"/>
      <c r="P30" s="1781"/>
      <c r="Q30" s="1990"/>
      <c r="R30" s="1781"/>
      <c r="S30" s="1990"/>
      <c r="T30" s="1781"/>
      <c r="U30" s="1990"/>
      <c r="V30" s="1781"/>
      <c r="W30" s="1990"/>
      <c r="X30" s="1781"/>
      <c r="Y30" s="1990"/>
      <c r="Z30" s="1781"/>
      <c r="AA30" s="1991"/>
      <c r="AB30" s="1994"/>
      <c r="AC30" s="1797">
        <v>28.6</v>
      </c>
      <c r="AD30" s="2033"/>
      <c r="AE30" s="1994" t="s">
        <v>14</v>
      </c>
      <c r="AF30" s="1797">
        <v>30</v>
      </c>
      <c r="AG30" s="1998"/>
      <c r="AH30" s="2467"/>
      <c r="AI30" s="1436">
        <f t="shared" si="4"/>
        <v>-1.4</v>
      </c>
      <c r="AJ30" s="2468"/>
      <c r="AK30" s="1431">
        <f t="shared" si="5"/>
        <v>-4.7E-2</v>
      </c>
    </row>
    <row r="31" spans="1:38" ht="15" customHeight="1">
      <c r="A31" s="2442"/>
      <c r="B31" s="2225" t="s">
        <v>1015</v>
      </c>
      <c r="C31" s="2014"/>
      <c r="D31" s="3876">
        <f t="shared" si="3"/>
        <v>0</v>
      </c>
      <c r="E31" s="1414"/>
      <c r="F31" s="1781"/>
      <c r="G31" s="1414"/>
      <c r="H31" s="1781"/>
      <c r="I31" s="1436"/>
      <c r="J31" s="1781"/>
      <c r="K31" s="1990"/>
      <c r="L31" s="1781"/>
      <c r="M31" s="1990"/>
      <c r="N31" s="1781"/>
      <c r="O31" s="1990"/>
      <c r="P31" s="1781"/>
      <c r="Q31" s="1990"/>
      <c r="R31" s="1781"/>
      <c r="S31" s="1990"/>
      <c r="T31" s="1781"/>
      <c r="U31" s="1990"/>
      <c r="V31" s="1781"/>
      <c r="W31" s="1990"/>
      <c r="X31" s="1781"/>
      <c r="Y31" s="1990"/>
      <c r="Z31" s="1781"/>
      <c r="AA31" s="1991"/>
      <c r="AB31" s="1994"/>
      <c r="AC31" s="1797">
        <v>0</v>
      </c>
      <c r="AD31" s="2033"/>
      <c r="AE31" s="1994" t="s">
        <v>14</v>
      </c>
      <c r="AF31" s="1797">
        <v>0</v>
      </c>
      <c r="AG31" s="1998"/>
      <c r="AH31" s="2467"/>
      <c r="AI31" s="1436">
        <f t="shared" si="4"/>
        <v>0</v>
      </c>
      <c r="AJ31" s="2468"/>
      <c r="AK31" s="1431">
        <f>ROUND(IF(AF31=0,0,AI31/ABS(AF31)),3)</f>
        <v>0</v>
      </c>
    </row>
    <row r="32" spans="1:38" ht="15" customHeight="1">
      <c r="A32" s="2442"/>
      <c r="B32" s="2225" t="s">
        <v>1016</v>
      </c>
      <c r="C32" s="2014"/>
      <c r="D32" s="3876">
        <f t="shared" si="3"/>
        <v>23</v>
      </c>
      <c r="E32" s="1414"/>
      <c r="F32" s="1781"/>
      <c r="G32" s="1414"/>
      <c r="H32" s="1781"/>
      <c r="I32" s="1436"/>
      <c r="J32" s="1781"/>
      <c r="K32" s="1990"/>
      <c r="L32" s="1781"/>
      <c r="M32" s="1990"/>
      <c r="N32" s="1781"/>
      <c r="O32" s="1990"/>
      <c r="P32" s="1781"/>
      <c r="Q32" s="1990"/>
      <c r="R32" s="1781"/>
      <c r="S32" s="1990"/>
      <c r="T32" s="1781"/>
      <c r="U32" s="1990"/>
      <c r="V32" s="1781"/>
      <c r="W32" s="1990"/>
      <c r="X32" s="1781"/>
      <c r="Y32" s="1990"/>
      <c r="Z32" s="1781"/>
      <c r="AA32" s="1991"/>
      <c r="AB32" s="1994"/>
      <c r="AC32" s="1797">
        <v>23</v>
      </c>
      <c r="AD32" s="2033"/>
      <c r="AE32" s="1994" t="s">
        <v>14</v>
      </c>
      <c r="AF32" s="1797">
        <v>26.7</v>
      </c>
      <c r="AG32" s="1998"/>
      <c r="AH32" s="2467"/>
      <c r="AI32" s="1436">
        <f t="shared" si="4"/>
        <v>-3.7</v>
      </c>
      <c r="AJ32" s="2468"/>
      <c r="AK32" s="1431">
        <f t="shared" si="5"/>
        <v>-0.13900000000000001</v>
      </c>
    </row>
    <row r="33" spans="1:38" ht="15" customHeight="1">
      <c r="A33" s="2442"/>
      <c r="B33" s="2225" t="s">
        <v>1017</v>
      </c>
      <c r="C33" s="2014"/>
      <c r="D33" s="3876">
        <f t="shared" si="3"/>
        <v>0</v>
      </c>
      <c r="E33" s="1414"/>
      <c r="F33" s="1781"/>
      <c r="G33" s="1414"/>
      <c r="H33" s="1781"/>
      <c r="I33" s="1436"/>
      <c r="J33" s="1781"/>
      <c r="K33" s="1990"/>
      <c r="L33" s="1781"/>
      <c r="M33" s="1990"/>
      <c r="N33" s="1781"/>
      <c r="O33" s="1990"/>
      <c r="P33" s="1781"/>
      <c r="Q33" s="1990"/>
      <c r="R33" s="1781"/>
      <c r="S33" s="1990"/>
      <c r="T33" s="1781"/>
      <c r="U33" s="1990"/>
      <c r="V33" s="1781"/>
      <c r="W33" s="1990"/>
      <c r="X33" s="1781"/>
      <c r="Y33" s="1990"/>
      <c r="Z33" s="1781"/>
      <c r="AA33" s="1991"/>
      <c r="AB33" s="1994"/>
      <c r="AC33" s="1797">
        <v>0</v>
      </c>
      <c r="AD33" s="2033"/>
      <c r="AE33" s="1994" t="s">
        <v>14</v>
      </c>
      <c r="AF33" s="1797">
        <v>0</v>
      </c>
      <c r="AG33" s="1998"/>
      <c r="AH33" s="2467"/>
      <c r="AI33" s="1436">
        <f t="shared" si="4"/>
        <v>0</v>
      </c>
      <c r="AJ33" s="2468"/>
      <c r="AK33" s="1431">
        <f t="shared" si="5"/>
        <v>0</v>
      </c>
    </row>
    <row r="34" spans="1:38" ht="15" customHeight="1">
      <c r="A34" s="2442"/>
      <c r="B34" s="2225" t="s">
        <v>1353</v>
      </c>
      <c r="C34" s="2014"/>
      <c r="D34" s="3876">
        <f t="shared" si="3"/>
        <v>0</v>
      </c>
      <c r="E34" s="1414"/>
      <c r="F34" s="1781"/>
      <c r="G34" s="1414"/>
      <c r="H34" s="1781"/>
      <c r="I34" s="1436"/>
      <c r="J34" s="1781"/>
      <c r="K34" s="1990"/>
      <c r="L34" s="1781"/>
      <c r="M34" s="1990"/>
      <c r="N34" s="1781"/>
      <c r="O34" s="1990"/>
      <c r="P34" s="1781"/>
      <c r="Q34" s="1990"/>
      <c r="R34" s="1781"/>
      <c r="S34" s="1990"/>
      <c r="T34" s="1781"/>
      <c r="U34" s="1990"/>
      <c r="V34" s="1781"/>
      <c r="W34" s="1990"/>
      <c r="X34" s="1781"/>
      <c r="Y34" s="1990"/>
      <c r="Z34" s="1781"/>
      <c r="AA34" s="1991"/>
      <c r="AB34" s="2040"/>
      <c r="AC34" s="1797">
        <v>0</v>
      </c>
      <c r="AD34" s="2033"/>
      <c r="AE34" s="2040" t="s">
        <v>14</v>
      </c>
      <c r="AF34" s="1797">
        <v>0</v>
      </c>
      <c r="AG34" s="1998"/>
      <c r="AH34" s="2467"/>
      <c r="AI34" s="1436">
        <f>ROUND(SUM(+AC34-AF34),1)</f>
        <v>0</v>
      </c>
      <c r="AJ34" s="2468"/>
      <c r="AK34" s="1431">
        <f>ROUND(IF(AF34=0,0,AI34/ABS(AF34)),3)</f>
        <v>0</v>
      </c>
    </row>
    <row r="35" spans="1:38" ht="15" customHeight="1">
      <c r="A35" s="2442"/>
      <c r="B35" s="2225" t="s">
        <v>1354</v>
      </c>
      <c r="C35" s="2014"/>
      <c r="D35" s="3876">
        <f t="shared" si="3"/>
        <v>6.7</v>
      </c>
      <c r="E35" s="1414"/>
      <c r="F35" s="1781"/>
      <c r="G35" s="1414"/>
      <c r="H35" s="1781"/>
      <c r="I35" s="1436"/>
      <c r="J35" s="1781"/>
      <c r="K35" s="1990"/>
      <c r="L35" s="1781"/>
      <c r="M35" s="1990"/>
      <c r="N35" s="1781"/>
      <c r="O35" s="1990"/>
      <c r="P35" s="1781"/>
      <c r="Q35" s="1990"/>
      <c r="R35" s="1781"/>
      <c r="S35" s="1990"/>
      <c r="T35" s="1781"/>
      <c r="U35" s="1990"/>
      <c r="V35" s="1781"/>
      <c r="W35" s="1990"/>
      <c r="X35" s="1781"/>
      <c r="Y35" s="1990"/>
      <c r="Z35" s="1781"/>
      <c r="AA35" s="1991"/>
      <c r="AB35" s="1994"/>
      <c r="AC35" s="1797">
        <v>6.7</v>
      </c>
      <c r="AD35" s="2033"/>
      <c r="AE35" s="1994" t="s">
        <v>14</v>
      </c>
      <c r="AF35" s="1797">
        <v>7.2</v>
      </c>
      <c r="AG35" s="1998"/>
      <c r="AH35" s="2467"/>
      <c r="AI35" s="1436">
        <f t="shared" ref="AI35" si="6">ROUND(SUM(+AC35-AF35),1)</f>
        <v>-0.5</v>
      </c>
      <c r="AJ35" s="2468"/>
      <c r="AK35" s="1431">
        <f>ROUND(IF(AF35=0,1,AI35/ABS(AF35)),3)</f>
        <v>-6.9000000000000006E-2</v>
      </c>
    </row>
    <row r="36" spans="1:38" s="2472" customFormat="1" ht="15" customHeight="1">
      <c r="A36" s="2470"/>
      <c r="B36" s="2464" t="s">
        <v>1011</v>
      </c>
      <c r="C36" s="2419"/>
      <c r="D36" s="2465">
        <f>ROUND(SUM(D28:D35),1)</f>
        <v>351.1</v>
      </c>
      <c r="E36" s="1454"/>
      <c r="F36" s="2466">
        <f>ROUND(SUM(F28:F35),1)</f>
        <v>0</v>
      </c>
      <c r="G36" s="1454"/>
      <c r="H36" s="2465">
        <f>ROUND(SUM(H28:H35),1)</f>
        <v>0</v>
      </c>
      <c r="I36" s="1454"/>
      <c r="J36" s="2466">
        <f>ROUND(SUM(J28:J35),1)</f>
        <v>0</v>
      </c>
      <c r="K36" s="1454"/>
      <c r="L36" s="2034">
        <f>ROUND(SUM(L28:L35),1)</f>
        <v>0</v>
      </c>
      <c r="M36" s="1454"/>
      <c r="N36" s="2034">
        <f>ROUND(SUM(N28:N35),1)</f>
        <v>0</v>
      </c>
      <c r="O36" s="1454"/>
      <c r="P36" s="2034">
        <f>ROUND(SUM(P28:P35),1)</f>
        <v>0</v>
      </c>
      <c r="Q36" s="1454"/>
      <c r="R36" s="2034">
        <f>ROUND(SUM(R28:R35),1)</f>
        <v>0</v>
      </c>
      <c r="S36" s="1454"/>
      <c r="T36" s="2034">
        <f>ROUND(SUM(T28:T35),1)</f>
        <v>0</v>
      </c>
      <c r="U36" s="1454"/>
      <c r="V36" s="2034">
        <f>ROUND(SUM(V28:V35),1)</f>
        <v>0</v>
      </c>
      <c r="W36" s="1454"/>
      <c r="X36" s="2034">
        <f>ROUND(SUM(X28:X35),1)</f>
        <v>0</v>
      </c>
      <c r="Y36" s="1454"/>
      <c r="Z36" s="2034">
        <f>ROUND(SUM(Z28:Z35),1)</f>
        <v>0</v>
      </c>
      <c r="AA36" s="2002"/>
      <c r="AB36" s="2037"/>
      <c r="AC36" s="3141">
        <f>ROUND(SUM(AC28:AC35),1)</f>
        <v>351.1</v>
      </c>
      <c r="AD36" s="2042"/>
      <c r="AE36" s="2544"/>
      <c r="AF36" s="1453">
        <f>ROUND(SUM(AF28:AF35),1)</f>
        <v>458.8</v>
      </c>
      <c r="AG36" s="1454"/>
      <c r="AH36" s="2471"/>
      <c r="AI36" s="2034">
        <f>ROUND(SUM(AI28:AI35),1)</f>
        <v>-107.7</v>
      </c>
      <c r="AJ36" s="1437"/>
      <c r="AK36" s="1438">
        <f>ROUND(SUM(+AI36/AF36),3)</f>
        <v>-0.23499999999999999</v>
      </c>
      <c r="AL36" s="2408"/>
    </row>
    <row r="37" spans="1:38" s="2472" customFormat="1" ht="15" customHeight="1">
      <c r="A37" s="2470"/>
      <c r="B37" s="2454" t="s">
        <v>1060</v>
      </c>
      <c r="C37" s="2419"/>
      <c r="D37" s="1437"/>
      <c r="E37" s="1454"/>
      <c r="F37" s="1455"/>
      <c r="G37" s="1454"/>
      <c r="H37" s="1437"/>
      <c r="I37" s="1454"/>
      <c r="J37" s="2033"/>
      <c r="K37" s="1454"/>
      <c r="L37" s="1437"/>
      <c r="M37" s="1454"/>
      <c r="N37" s="1437"/>
      <c r="O37" s="1454"/>
      <c r="P37" s="1455"/>
      <c r="Q37" s="1454"/>
      <c r="R37" s="1437"/>
      <c r="S37" s="1454"/>
      <c r="T37" s="1437"/>
      <c r="U37" s="1454"/>
      <c r="V37" s="1437"/>
      <c r="W37" s="1454"/>
      <c r="X37" s="1437"/>
      <c r="Y37" s="1454"/>
      <c r="Z37" s="1437"/>
      <c r="AA37" s="2002"/>
      <c r="AB37" s="2037"/>
      <c r="AC37" s="1455"/>
      <c r="AD37" s="2042"/>
      <c r="AE37" s="2544" t="s">
        <v>14</v>
      </c>
      <c r="AF37" s="1455"/>
      <c r="AG37" s="1454"/>
      <c r="AH37" s="2471"/>
      <c r="AI37" s="1437"/>
      <c r="AJ37" s="1437"/>
      <c r="AK37" s="2469"/>
      <c r="AL37" s="2408"/>
    </row>
    <row r="38" spans="1:38" s="2472" customFormat="1" ht="15" customHeight="1">
      <c r="A38" s="2470"/>
      <c r="B38" s="2225" t="s">
        <v>1019</v>
      </c>
      <c r="C38" s="2419"/>
      <c r="D38" s="3876">
        <f t="shared" ref="D38:D42" si="7">$AC38</f>
        <v>613.79999999999995</v>
      </c>
      <c r="E38" s="1414"/>
      <c r="F38" s="1781"/>
      <c r="G38" s="1414"/>
      <c r="H38" s="1781"/>
      <c r="I38" s="1454"/>
      <c r="J38" s="1781"/>
      <c r="K38" s="1990"/>
      <c r="L38" s="1781"/>
      <c r="M38" s="1990"/>
      <c r="N38" s="1781"/>
      <c r="O38" s="1990"/>
      <c r="P38" s="1781"/>
      <c r="Q38" s="1990"/>
      <c r="R38" s="1781"/>
      <c r="S38" s="1990"/>
      <c r="T38" s="1781"/>
      <c r="U38" s="1990"/>
      <c r="V38" s="1781"/>
      <c r="W38" s="1990"/>
      <c r="X38" s="1781"/>
      <c r="Y38" s="1990"/>
      <c r="Z38" s="1781"/>
      <c r="AA38" s="1991"/>
      <c r="AB38" s="1994"/>
      <c r="AC38" s="1797">
        <v>613.79999999999995</v>
      </c>
      <c r="AD38" s="2033"/>
      <c r="AE38" s="1994" t="s">
        <v>14</v>
      </c>
      <c r="AF38" s="1797">
        <v>197.4</v>
      </c>
      <c r="AG38" s="1454"/>
      <c r="AH38" s="2471"/>
      <c r="AI38" s="1436">
        <f>ROUND(SUM(+AC38-AF38),1)</f>
        <v>416.4</v>
      </c>
      <c r="AJ38" s="1437"/>
      <c r="AK38" s="1431">
        <f>ROUND(IF(AF38=0,0,AI38/ABS(AF38)),3)</f>
        <v>2.109</v>
      </c>
      <c r="AL38" s="2408"/>
    </row>
    <row r="39" spans="1:38" s="2472" customFormat="1" ht="15" customHeight="1">
      <c r="A39" s="2470"/>
      <c r="B39" s="2225" t="s">
        <v>1020</v>
      </c>
      <c r="C39" s="2419"/>
      <c r="D39" s="3876">
        <f t="shared" si="7"/>
        <v>28.6</v>
      </c>
      <c r="E39" s="1414"/>
      <c r="F39" s="1781"/>
      <c r="G39" s="1414"/>
      <c r="H39" s="1781"/>
      <c r="I39" s="1454"/>
      <c r="J39" s="1781"/>
      <c r="K39" s="1990"/>
      <c r="L39" s="1781"/>
      <c r="M39" s="1990"/>
      <c r="N39" s="1781"/>
      <c r="O39" s="1990"/>
      <c r="P39" s="1781"/>
      <c r="Q39" s="1990"/>
      <c r="R39" s="1781"/>
      <c r="S39" s="1990"/>
      <c r="T39" s="1781"/>
      <c r="U39" s="1990"/>
      <c r="V39" s="1781"/>
      <c r="W39" s="1990"/>
      <c r="X39" s="1781"/>
      <c r="Y39" s="1990"/>
      <c r="Z39" s="1781"/>
      <c r="AA39" s="1991"/>
      <c r="AB39" s="1994"/>
      <c r="AC39" s="1797">
        <v>28.6</v>
      </c>
      <c r="AD39" s="2033"/>
      <c r="AE39" s="1994" t="s">
        <v>14</v>
      </c>
      <c r="AF39" s="1797">
        <v>13.3</v>
      </c>
      <c r="AG39" s="1454"/>
      <c r="AH39" s="2471"/>
      <c r="AI39" s="1436">
        <f>ROUND(SUM(+AC39-AF39),1)</f>
        <v>15.3</v>
      </c>
      <c r="AJ39" s="1437"/>
      <c r="AK39" s="1472">
        <f>ROUND(IF(AF39=0,0,AI39/ABS(AF39)),3)</f>
        <v>1.1499999999999999</v>
      </c>
      <c r="AL39" s="2408"/>
    </row>
    <row r="40" spans="1:38" s="2472" customFormat="1" ht="15" customHeight="1">
      <c r="A40" s="2470"/>
      <c r="B40" s="2225" t="s">
        <v>1021</v>
      </c>
      <c r="C40" s="2419"/>
      <c r="D40" s="3876">
        <f t="shared" si="7"/>
        <v>73</v>
      </c>
      <c r="E40" s="1414"/>
      <c r="F40" s="1781"/>
      <c r="G40" s="1414"/>
      <c r="H40" s="1781"/>
      <c r="I40" s="1454"/>
      <c r="J40" s="1781"/>
      <c r="K40" s="1990"/>
      <c r="L40" s="1781"/>
      <c r="M40" s="1990"/>
      <c r="N40" s="1781"/>
      <c r="O40" s="1990"/>
      <c r="P40" s="1781"/>
      <c r="Q40" s="1990"/>
      <c r="R40" s="1781"/>
      <c r="S40" s="1990"/>
      <c r="T40" s="1781"/>
      <c r="U40" s="1990"/>
      <c r="V40" s="1781"/>
      <c r="W40" s="1990"/>
      <c r="X40" s="1781"/>
      <c r="Y40" s="1990"/>
      <c r="Z40" s="1781"/>
      <c r="AA40" s="1991"/>
      <c r="AB40" s="1994"/>
      <c r="AC40" s="1797">
        <v>73</v>
      </c>
      <c r="AD40" s="2033"/>
      <c r="AE40" s="1994" t="s">
        <v>14</v>
      </c>
      <c r="AF40" s="1797">
        <v>63</v>
      </c>
      <c r="AG40" s="1454"/>
      <c r="AH40" s="2471"/>
      <c r="AI40" s="1436">
        <f>ROUND(SUM(+AC40-AF40),1)</f>
        <v>10</v>
      </c>
      <c r="AJ40" s="1437"/>
      <c r="AK40" s="1431">
        <f>ROUND(IF(AF40=0,0,AI40/ABS(AF40)),3)</f>
        <v>0.159</v>
      </c>
      <c r="AL40" s="2408"/>
    </row>
    <row r="41" spans="1:38" s="2472" customFormat="1" ht="15" customHeight="1">
      <c r="A41" s="2470"/>
      <c r="B41" s="2225" t="s">
        <v>1022</v>
      </c>
      <c r="C41" s="2419"/>
      <c r="D41" s="3876">
        <f t="shared" si="7"/>
        <v>14.2</v>
      </c>
      <c r="E41" s="1414"/>
      <c r="F41" s="1781"/>
      <c r="G41" s="1414"/>
      <c r="H41" s="1781"/>
      <c r="I41" s="1454"/>
      <c r="J41" s="1781"/>
      <c r="K41" s="1990"/>
      <c r="L41" s="1781"/>
      <c r="M41" s="1990"/>
      <c r="N41" s="1781"/>
      <c r="O41" s="1990"/>
      <c r="P41" s="1781"/>
      <c r="Q41" s="1990"/>
      <c r="R41" s="1781"/>
      <c r="S41" s="1990"/>
      <c r="T41" s="1781"/>
      <c r="U41" s="1990"/>
      <c r="V41" s="1781"/>
      <c r="W41" s="1990"/>
      <c r="X41" s="1781"/>
      <c r="Y41" s="1990"/>
      <c r="Z41" s="1781"/>
      <c r="AA41" s="1991"/>
      <c r="AB41" s="1994"/>
      <c r="AC41" s="1797">
        <v>14.2</v>
      </c>
      <c r="AD41" s="2033"/>
      <c r="AE41" s="1994" t="s">
        <v>14</v>
      </c>
      <c r="AF41" s="1797">
        <v>6.1</v>
      </c>
      <c r="AG41" s="1454"/>
      <c r="AH41" s="2471"/>
      <c r="AI41" s="1436">
        <f>ROUND(SUM(+AC41-AF41),1)</f>
        <v>8.1</v>
      </c>
      <c r="AJ41" s="1437"/>
      <c r="AK41" s="1472">
        <f>ROUND(IF(AF41=0,0,AI41/ABS(AF41)),3)</f>
        <v>1.3280000000000001</v>
      </c>
      <c r="AL41" s="2408"/>
    </row>
    <row r="42" spans="1:38" s="2472" customFormat="1" ht="15" customHeight="1">
      <c r="A42" s="2470"/>
      <c r="B42" s="2225" t="s">
        <v>1023</v>
      </c>
      <c r="C42" s="2419"/>
      <c r="D42" s="3876">
        <f t="shared" si="7"/>
        <v>0</v>
      </c>
      <c r="E42" s="1414"/>
      <c r="F42" s="1781"/>
      <c r="G42" s="1414"/>
      <c r="H42" s="1781"/>
      <c r="I42" s="1454"/>
      <c r="J42" s="1781"/>
      <c r="K42" s="1990"/>
      <c r="L42" s="1781"/>
      <c r="M42" s="1990"/>
      <c r="N42" s="1781"/>
      <c r="O42" s="1990"/>
      <c r="P42" s="1781"/>
      <c r="Q42" s="1990"/>
      <c r="R42" s="1781"/>
      <c r="S42" s="1990"/>
      <c r="T42" s="1781"/>
      <c r="U42" s="1990"/>
      <c r="V42" s="1781"/>
      <c r="W42" s="1990"/>
      <c r="X42" s="1781"/>
      <c r="Y42" s="1990"/>
      <c r="Z42" s="1781"/>
      <c r="AA42" s="1991"/>
      <c r="AB42" s="1994"/>
      <c r="AC42" s="1797">
        <v>0</v>
      </c>
      <c r="AD42" s="2033"/>
      <c r="AE42" s="1994" t="s">
        <v>14</v>
      </c>
      <c r="AF42" s="1797">
        <v>0</v>
      </c>
      <c r="AG42" s="1454"/>
      <c r="AH42" s="2471"/>
      <c r="AI42" s="1436">
        <f>ROUND(SUM(+AC42-AF42),1)</f>
        <v>0</v>
      </c>
      <c r="AJ42" s="1437"/>
      <c r="AK42" s="1431">
        <f>ROUND(IF(AF42=0,0,AI42/ABS(AF42)),3)</f>
        <v>0</v>
      </c>
      <c r="AL42" s="2408"/>
    </row>
    <row r="43" spans="1:38" s="2472" customFormat="1" ht="15" customHeight="1">
      <c r="A43" s="2470"/>
      <c r="B43" s="2464" t="s">
        <v>1018</v>
      </c>
      <c r="C43" s="2419"/>
      <c r="D43" s="2466">
        <f>ROUND(SUM(D38:D42),1)</f>
        <v>729.6</v>
      </c>
      <c r="E43" s="1454"/>
      <c r="F43" s="2466">
        <f>ROUND(SUM(F38:F42),1)</f>
        <v>0</v>
      </c>
      <c r="G43" s="1454"/>
      <c r="H43" s="2466">
        <f>ROUND(SUM(H38:H42),1)</f>
        <v>0</v>
      </c>
      <c r="I43" s="1454"/>
      <c r="J43" s="2466">
        <f>ROUND(SUM(J38:J42),1)</f>
        <v>0</v>
      </c>
      <c r="K43" s="1454"/>
      <c r="L43" s="1453">
        <f>ROUND(SUM(L38:L42),1)</f>
        <v>0</v>
      </c>
      <c r="M43" s="1454"/>
      <c r="N43" s="1453">
        <f>ROUND(SUM(N38:N42),1)</f>
        <v>0</v>
      </c>
      <c r="O43" s="1454"/>
      <c r="P43" s="1453">
        <f>ROUND(SUM(P38:P42),1)</f>
        <v>0</v>
      </c>
      <c r="Q43" s="1454"/>
      <c r="R43" s="1453">
        <f>ROUND(SUM(R38:R42),1)</f>
        <v>0</v>
      </c>
      <c r="S43" s="1454"/>
      <c r="T43" s="1453">
        <f>ROUND(SUM(T38:T42),1)</f>
        <v>0</v>
      </c>
      <c r="U43" s="1454"/>
      <c r="V43" s="1453">
        <f>ROUND(SUM(V38:V42),1)</f>
        <v>0</v>
      </c>
      <c r="W43" s="1454"/>
      <c r="X43" s="1453">
        <f>ROUND(SUM(X38:X42),1)</f>
        <v>0</v>
      </c>
      <c r="Y43" s="1454"/>
      <c r="Z43" s="1453">
        <f>ROUND(SUM(Z38:Z42),1)</f>
        <v>0</v>
      </c>
      <c r="AA43" s="2002"/>
      <c r="AB43" s="2037"/>
      <c r="AC43" s="3141">
        <f>ROUND(SUM(AC38:AC42),1)</f>
        <v>729.6</v>
      </c>
      <c r="AD43" s="2042"/>
      <c r="AE43" s="2544"/>
      <c r="AF43" s="1453">
        <f>ROUND(SUM(AF38:AF42),1)</f>
        <v>279.8</v>
      </c>
      <c r="AG43" s="1454"/>
      <c r="AH43" s="2471"/>
      <c r="AI43" s="1453">
        <f>ROUND(SUM(AI38:AI42),1)</f>
        <v>449.8</v>
      </c>
      <c r="AJ43" s="1437"/>
      <c r="AK43" s="1438">
        <f>ROUND(SUM(+AI43/AF43),3)</f>
        <v>1.6080000000000001</v>
      </c>
      <c r="AL43" s="2408"/>
    </row>
    <row r="44" spans="1:38" s="2472" customFormat="1" ht="15" customHeight="1">
      <c r="A44" s="2470"/>
      <c r="B44" s="2454" t="s">
        <v>1061</v>
      </c>
      <c r="C44" s="2419"/>
      <c r="D44" s="1437"/>
      <c r="E44" s="1454"/>
      <c r="F44" s="1437"/>
      <c r="G44" s="1454"/>
      <c r="H44" s="1437"/>
      <c r="I44" s="1454"/>
      <c r="J44" s="1455"/>
      <c r="K44" s="1454"/>
      <c r="L44" s="1437"/>
      <c r="M44" s="1454"/>
      <c r="N44" s="1437"/>
      <c r="O44" s="1454"/>
      <c r="P44" s="1455"/>
      <c r="Q44" s="1454"/>
      <c r="R44" s="1437"/>
      <c r="S44" s="1454"/>
      <c r="T44" s="1437"/>
      <c r="U44" s="1454"/>
      <c r="V44" s="1437"/>
      <c r="W44" s="1454"/>
      <c r="X44" s="1437"/>
      <c r="Y44" s="1454"/>
      <c r="Z44" s="1437"/>
      <c r="AA44" s="2002"/>
      <c r="AB44" s="2037"/>
      <c r="AC44" s="1455"/>
      <c r="AD44" s="2042"/>
      <c r="AE44" s="2544"/>
      <c r="AF44" s="1455"/>
      <c r="AG44" s="1454"/>
      <c r="AH44" s="2471"/>
      <c r="AI44" s="1437"/>
      <c r="AJ44" s="1437"/>
      <c r="AK44" s="2469"/>
      <c r="AL44" s="2408"/>
    </row>
    <row r="45" spans="1:38" s="2472" customFormat="1" ht="15" customHeight="1">
      <c r="A45" s="2470"/>
      <c r="B45" s="2225" t="s">
        <v>1026</v>
      </c>
      <c r="C45" s="2419"/>
      <c r="D45" s="3876">
        <f t="shared" ref="D45:D50" si="8">$AC45</f>
        <v>0</v>
      </c>
      <c r="E45" s="1414"/>
      <c r="F45" s="1781"/>
      <c r="G45" s="1414"/>
      <c r="H45" s="1781"/>
      <c r="I45" s="1454"/>
      <c r="J45" s="1781"/>
      <c r="K45" s="1990"/>
      <c r="L45" s="1781"/>
      <c r="M45" s="1990"/>
      <c r="N45" s="1781"/>
      <c r="O45" s="1990"/>
      <c r="P45" s="1781"/>
      <c r="Q45" s="1990"/>
      <c r="R45" s="1781"/>
      <c r="S45" s="1990"/>
      <c r="T45" s="1781"/>
      <c r="U45" s="1990"/>
      <c r="V45" s="1781"/>
      <c r="W45" s="1990"/>
      <c r="X45" s="1781"/>
      <c r="Y45" s="1990"/>
      <c r="Z45" s="1781"/>
      <c r="AA45" s="1991"/>
      <c r="AB45" s="1994"/>
      <c r="AC45" s="1797">
        <v>0</v>
      </c>
      <c r="AD45" s="2033"/>
      <c r="AE45" s="1994" t="s">
        <v>14</v>
      </c>
      <c r="AF45" s="1797">
        <v>0</v>
      </c>
      <c r="AG45" s="1454"/>
      <c r="AH45" s="2471"/>
      <c r="AI45" s="1436">
        <f t="shared" ref="AI45:AI49" si="9">ROUND(SUM(+AC45-AF45),1)</f>
        <v>0</v>
      </c>
      <c r="AJ45" s="1437"/>
      <c r="AK45" s="1431">
        <f t="shared" ref="AK45:AK48" si="10">ROUND(IF(AF45=0,0,AI45/ABS(AF45)),3)</f>
        <v>0</v>
      </c>
      <c r="AL45" s="2408"/>
    </row>
    <row r="46" spans="1:38" s="2472" customFormat="1" ht="15" customHeight="1">
      <c r="A46" s="2470"/>
      <c r="B46" s="2225" t="s">
        <v>1027</v>
      </c>
      <c r="C46" s="2419"/>
      <c r="D46" s="3876">
        <f t="shared" si="8"/>
        <v>119.8</v>
      </c>
      <c r="E46" s="1414"/>
      <c r="F46" s="1781"/>
      <c r="G46" s="1414"/>
      <c r="H46" s="1781"/>
      <c r="I46" s="1454"/>
      <c r="J46" s="1781"/>
      <c r="K46" s="1990"/>
      <c r="L46" s="1781"/>
      <c r="M46" s="1990"/>
      <c r="N46" s="1781"/>
      <c r="O46" s="1990"/>
      <c r="P46" s="1781"/>
      <c r="Q46" s="1990"/>
      <c r="R46" s="1781"/>
      <c r="S46" s="1990"/>
      <c r="T46" s="1781"/>
      <c r="U46" s="1990"/>
      <c r="V46" s="1781"/>
      <c r="W46" s="1990"/>
      <c r="X46" s="1781"/>
      <c r="Y46" s="1990"/>
      <c r="Z46" s="1781"/>
      <c r="AA46" s="1991"/>
      <c r="AB46" s="1994"/>
      <c r="AC46" s="1797">
        <v>119.8</v>
      </c>
      <c r="AD46" s="2033"/>
      <c r="AE46" s="1994" t="s">
        <v>14</v>
      </c>
      <c r="AF46" s="1797">
        <v>72.7</v>
      </c>
      <c r="AG46" s="1454"/>
      <c r="AH46" s="2471"/>
      <c r="AI46" s="1436">
        <f t="shared" si="9"/>
        <v>47.1</v>
      </c>
      <c r="AJ46" s="1437"/>
      <c r="AK46" s="1431">
        <f t="shared" si="10"/>
        <v>0.64800000000000002</v>
      </c>
      <c r="AL46" s="2408"/>
    </row>
    <row r="47" spans="1:38" s="2472" customFormat="1" ht="15" customHeight="1">
      <c r="A47" s="2470"/>
      <c r="B47" s="2225" t="s">
        <v>1028</v>
      </c>
      <c r="C47" s="2419"/>
      <c r="D47" s="3876">
        <f t="shared" si="8"/>
        <v>1.3</v>
      </c>
      <c r="E47" s="1414"/>
      <c r="F47" s="1781"/>
      <c r="G47" s="1414"/>
      <c r="H47" s="1781"/>
      <c r="I47" s="1454"/>
      <c r="J47" s="1781"/>
      <c r="K47" s="1990"/>
      <c r="L47" s="1781"/>
      <c r="M47" s="1990"/>
      <c r="N47" s="1781"/>
      <c r="O47" s="1990"/>
      <c r="P47" s="1781"/>
      <c r="Q47" s="1990"/>
      <c r="R47" s="1781"/>
      <c r="S47" s="1990"/>
      <c r="T47" s="1781"/>
      <c r="U47" s="1990"/>
      <c r="V47" s="1781"/>
      <c r="W47" s="1990"/>
      <c r="X47" s="1781"/>
      <c r="Y47" s="1990"/>
      <c r="Z47" s="1781"/>
      <c r="AA47" s="1991"/>
      <c r="AB47" s="1994"/>
      <c r="AC47" s="1797">
        <v>1.3</v>
      </c>
      <c r="AD47" s="2033"/>
      <c r="AE47" s="1994" t="s">
        <v>14</v>
      </c>
      <c r="AF47" s="1797">
        <v>0.7</v>
      </c>
      <c r="AG47" s="1454"/>
      <c r="AH47" s="2471"/>
      <c r="AI47" s="1436">
        <f t="shared" si="9"/>
        <v>0.6</v>
      </c>
      <c r="AJ47" s="1437"/>
      <c r="AK47" s="1431">
        <f t="shared" si="10"/>
        <v>0.85699999999999998</v>
      </c>
      <c r="AL47" s="2408"/>
    </row>
    <row r="48" spans="1:38" s="2472" customFormat="1" ht="15" customHeight="1">
      <c r="A48" s="2470"/>
      <c r="B48" s="2225" t="s">
        <v>1029</v>
      </c>
      <c r="C48" s="2419"/>
      <c r="D48" s="3876">
        <f t="shared" si="8"/>
        <v>0</v>
      </c>
      <c r="E48" s="1414"/>
      <c r="F48" s="1781"/>
      <c r="G48" s="1414"/>
      <c r="H48" s="1781"/>
      <c r="I48" s="1454"/>
      <c r="J48" s="1781"/>
      <c r="K48" s="1990"/>
      <c r="L48" s="1781"/>
      <c r="M48" s="1990"/>
      <c r="N48" s="1781"/>
      <c r="O48" s="1990"/>
      <c r="P48" s="1781"/>
      <c r="Q48" s="1990"/>
      <c r="R48" s="1781"/>
      <c r="S48" s="1990"/>
      <c r="T48" s="1781"/>
      <c r="U48" s="1990"/>
      <c r="V48" s="1781"/>
      <c r="W48" s="1990"/>
      <c r="X48" s="1781"/>
      <c r="Y48" s="1990"/>
      <c r="Z48" s="1781"/>
      <c r="AA48" s="1991"/>
      <c r="AB48" s="1994"/>
      <c r="AC48" s="1797">
        <v>0</v>
      </c>
      <c r="AD48" s="2033">
        <f>'Exhibit F'!AF1211</f>
        <v>0</v>
      </c>
      <c r="AE48" s="1994" t="s">
        <v>14</v>
      </c>
      <c r="AF48" s="1797">
        <v>0</v>
      </c>
      <c r="AG48" s="1454"/>
      <c r="AH48" s="2471"/>
      <c r="AI48" s="1436">
        <f t="shared" si="9"/>
        <v>0</v>
      </c>
      <c r="AJ48" s="1437"/>
      <c r="AK48" s="1431">
        <f t="shared" si="10"/>
        <v>0</v>
      </c>
      <c r="AL48" s="2408"/>
    </row>
    <row r="49" spans="1:38" s="2472" customFormat="1" ht="15" customHeight="1">
      <c r="A49" s="2470"/>
      <c r="B49" s="2225" t="s">
        <v>1030</v>
      </c>
      <c r="C49" s="2419"/>
      <c r="D49" s="3876">
        <f t="shared" si="8"/>
        <v>0</v>
      </c>
      <c r="E49" s="1414"/>
      <c r="F49" s="1781"/>
      <c r="G49" s="1414"/>
      <c r="H49" s="1781"/>
      <c r="I49" s="1454"/>
      <c r="J49" s="1781"/>
      <c r="K49" s="1990"/>
      <c r="L49" s="1781"/>
      <c r="M49" s="1990"/>
      <c r="N49" s="1781"/>
      <c r="O49" s="1990"/>
      <c r="P49" s="1781"/>
      <c r="Q49" s="1990"/>
      <c r="R49" s="1781"/>
      <c r="S49" s="1990"/>
      <c r="T49" s="1781"/>
      <c r="U49" s="1990"/>
      <c r="V49" s="1781"/>
      <c r="W49" s="1990"/>
      <c r="X49" s="1781"/>
      <c r="Y49" s="1990"/>
      <c r="Z49" s="1781"/>
      <c r="AA49" s="1991"/>
      <c r="AB49" s="1994"/>
      <c r="AC49" s="1797">
        <v>0</v>
      </c>
      <c r="AD49" s="2033"/>
      <c r="AE49" s="1994" t="s">
        <v>14</v>
      </c>
      <c r="AF49" s="1797">
        <v>0.1</v>
      </c>
      <c r="AG49" s="1454"/>
      <c r="AH49" s="2471"/>
      <c r="AI49" s="1436">
        <f t="shared" si="9"/>
        <v>-0.1</v>
      </c>
      <c r="AJ49" s="1437"/>
      <c r="AK49" s="1431">
        <f>ROUND(IF(AF49=0,1,AI49/ABS(AF49)),3)</f>
        <v>-1</v>
      </c>
      <c r="AL49" s="2408"/>
    </row>
    <row r="50" spans="1:38" s="2472" customFormat="1" ht="15" customHeight="1">
      <c r="A50" s="2470"/>
      <c r="B50" s="2461" t="s">
        <v>1287</v>
      </c>
      <c r="C50" s="2456"/>
      <c r="D50" s="3876">
        <f t="shared" si="8"/>
        <v>0.1</v>
      </c>
      <c r="E50" s="1414"/>
      <c r="F50" s="1781"/>
      <c r="G50" s="1414"/>
      <c r="H50" s="1781"/>
      <c r="I50" s="2460"/>
      <c r="J50" s="1781"/>
      <c r="K50" s="1990"/>
      <c r="L50" s="1781"/>
      <c r="M50" s="1990"/>
      <c r="N50" s="1781"/>
      <c r="O50" s="1990"/>
      <c r="P50" s="1781"/>
      <c r="Q50" s="1990"/>
      <c r="R50" s="1781"/>
      <c r="S50" s="1990"/>
      <c r="T50" s="1781"/>
      <c r="U50" s="1990"/>
      <c r="V50" s="1781"/>
      <c r="W50" s="1990"/>
      <c r="X50" s="1781"/>
      <c r="Y50" s="1990"/>
      <c r="Z50" s="1781"/>
      <c r="AA50" s="1991"/>
      <c r="AB50" s="1994"/>
      <c r="AC50" s="1797">
        <v>0.1</v>
      </c>
      <c r="AD50" s="2033"/>
      <c r="AE50" s="1994" t="s">
        <v>14</v>
      </c>
      <c r="AF50" s="1797">
        <v>0.1</v>
      </c>
      <c r="AG50" s="2177"/>
      <c r="AH50" s="2458"/>
      <c r="AI50" s="1992">
        <f>ROUND(SUM(+AC50-AF50),1)</f>
        <v>0</v>
      </c>
      <c r="AJ50" s="2459"/>
      <c r="AK50" s="1716">
        <f>ROUND(IF(AF50=0,1,AI50/ABS(AF50)),3)</f>
        <v>0</v>
      </c>
      <c r="AL50" s="2408"/>
    </row>
    <row r="51" spans="1:38" s="2472" customFormat="1" ht="15" customHeight="1">
      <c r="A51" s="2470"/>
      <c r="B51" s="2464" t="s">
        <v>1024</v>
      </c>
      <c r="C51" s="2419"/>
      <c r="D51" s="2466">
        <f>ROUND(SUM(D45:D50),1)</f>
        <v>121.2</v>
      </c>
      <c r="E51" s="1454"/>
      <c r="F51" s="2466">
        <f>ROUND(SUM(F45:F50),1)</f>
        <v>0</v>
      </c>
      <c r="G51" s="1454"/>
      <c r="H51" s="2466">
        <f>ROUND(SUM(H45:H50),1)</f>
        <v>0</v>
      </c>
      <c r="I51" s="1454"/>
      <c r="J51" s="2466">
        <f>ROUND(SUM(J45:J50),1)</f>
        <v>0</v>
      </c>
      <c r="K51" s="1454"/>
      <c r="L51" s="1453">
        <f>ROUND(SUM(L45:L50),1)</f>
        <v>0</v>
      </c>
      <c r="M51" s="1454"/>
      <c r="N51" s="1453">
        <f>ROUND(SUM(N45:N50),1)</f>
        <v>0</v>
      </c>
      <c r="O51" s="1454"/>
      <c r="P51" s="1453">
        <f>ROUND(SUM(P45:P50),1)</f>
        <v>0</v>
      </c>
      <c r="Q51" s="1454"/>
      <c r="R51" s="1453">
        <f>ROUND(SUM(R45:R50),1)</f>
        <v>0</v>
      </c>
      <c r="S51" s="1454"/>
      <c r="T51" s="1453">
        <f>ROUND(SUM(T45:T50),1)</f>
        <v>0</v>
      </c>
      <c r="U51" s="1454"/>
      <c r="V51" s="1453">
        <f>ROUND(SUM(V45:V50),1)</f>
        <v>0</v>
      </c>
      <c r="W51" s="1454"/>
      <c r="X51" s="1453">
        <f>ROUND(SUM(X45:X50),1)</f>
        <v>0</v>
      </c>
      <c r="Y51" s="1454"/>
      <c r="Z51" s="1453">
        <f>ROUND(SUM(Z45:Z50),1)</f>
        <v>0</v>
      </c>
      <c r="AA51" s="2002"/>
      <c r="AB51" s="2037"/>
      <c r="AC51" s="3141">
        <f>ROUND(SUM(AC45:AC50),1)</f>
        <v>121.2</v>
      </c>
      <c r="AD51" s="2042"/>
      <c r="AE51" s="2544"/>
      <c r="AF51" s="1453">
        <f>ROUND(SUM(AF45:AF50),1)</f>
        <v>73.599999999999994</v>
      </c>
      <c r="AG51" s="1454"/>
      <c r="AH51" s="2471"/>
      <c r="AI51" s="1453">
        <f>ROUND(SUM(AI45:AI50),1)</f>
        <v>47.6</v>
      </c>
      <c r="AJ51" s="1437"/>
      <c r="AK51" s="1438">
        <f>ROUND(SUM(+AI51/AF51),3)</f>
        <v>0.64700000000000002</v>
      </c>
      <c r="AL51" s="2408"/>
    </row>
    <row r="52" spans="1:38" s="2472" customFormat="1" ht="15" customHeight="1">
      <c r="A52" s="2470"/>
      <c r="B52" s="2464"/>
      <c r="C52" s="2419"/>
      <c r="D52" s="1437"/>
      <c r="E52" s="1454"/>
      <c r="F52" s="1437"/>
      <c r="G52" s="1437"/>
      <c r="H52" s="1437"/>
      <c r="I52" s="1437"/>
      <c r="J52" s="1455"/>
      <c r="K52" s="1437"/>
      <c r="L52" s="1437"/>
      <c r="M52" s="1437"/>
      <c r="N52" s="1437"/>
      <c r="O52" s="1437"/>
      <c r="P52" s="1455"/>
      <c r="Q52" s="1437"/>
      <c r="R52" s="1437"/>
      <c r="S52" s="1437"/>
      <c r="T52" s="1437"/>
      <c r="U52" s="1437"/>
      <c r="V52" s="1437"/>
      <c r="W52" s="1437"/>
      <c r="X52" s="1455"/>
      <c r="Y52" s="1437"/>
      <c r="Z52" s="1455"/>
      <c r="AA52" s="2002"/>
      <c r="AB52" s="2037"/>
      <c r="AC52" s="1455"/>
      <c r="AD52" s="2042"/>
      <c r="AE52" s="2544"/>
      <c r="AF52" s="1455"/>
      <c r="AG52" s="1454"/>
      <c r="AH52" s="2471"/>
      <c r="AI52" s="1437"/>
      <c r="AJ52" s="1437"/>
      <c r="AK52" s="2469"/>
      <c r="AL52" s="2408"/>
    </row>
    <row r="53" spans="1:38" ht="15" customHeight="1">
      <c r="A53" s="2442"/>
      <c r="B53" s="2464" t="s">
        <v>1025</v>
      </c>
      <c r="C53" s="2014"/>
      <c r="D53" s="2473">
        <f>ROUND(SUM(D26+D36+D43+D51),1)</f>
        <v>4464.8</v>
      </c>
      <c r="E53" s="1436"/>
      <c r="F53" s="2473">
        <f>ROUND(SUM(F26+F36+F43+F51),1)</f>
        <v>0</v>
      </c>
      <c r="G53" s="1436"/>
      <c r="H53" s="2473">
        <f>ROUND(SUM(H26+H36+H43+H51),1)</f>
        <v>0</v>
      </c>
      <c r="I53" s="1436"/>
      <c r="J53" s="2473">
        <f>ROUND(SUM(J26+J36+J43+J51),1)</f>
        <v>0</v>
      </c>
      <c r="K53" s="1998"/>
      <c r="L53" s="1975">
        <f>ROUND(SUM(L26+L36+L43+L51),1)</f>
        <v>0</v>
      </c>
      <c r="M53" s="1998"/>
      <c r="N53" s="1975">
        <f>ROUND(SUM(N26+N36+N43+N51),1)</f>
        <v>0</v>
      </c>
      <c r="O53" s="1998"/>
      <c r="P53" s="1975">
        <f>ROUND(SUM(P26+P36+P43+P51),1)</f>
        <v>0</v>
      </c>
      <c r="Q53" s="1998"/>
      <c r="R53" s="1975">
        <f>ROUND(SUM(R26+R36+R43+R51),1)</f>
        <v>0</v>
      </c>
      <c r="S53" s="1998"/>
      <c r="T53" s="1975">
        <f>ROUND(SUM(T26+T36+T43+T51),1)</f>
        <v>0</v>
      </c>
      <c r="U53" s="1998"/>
      <c r="V53" s="1975">
        <f>ROUND(SUM(V26+V36+V43+V51),1)</f>
        <v>0</v>
      </c>
      <c r="W53" s="1998"/>
      <c r="X53" s="1975">
        <f>ROUND(SUM(X26+X36+X43+X51),1)</f>
        <v>0</v>
      </c>
      <c r="Y53" s="1998"/>
      <c r="Z53" s="1975">
        <f>ROUND(SUM(Z26+Z36+Z43+Z51),1)</f>
        <v>0</v>
      </c>
      <c r="AA53" s="1456"/>
      <c r="AB53" s="2035"/>
      <c r="AC53" s="3143">
        <f>ROUND(SUM(AC26+AC36+AC43+AC51),1)</f>
        <v>4464.8</v>
      </c>
      <c r="AD53" s="1987"/>
      <c r="AE53" s="2031"/>
      <c r="AF53" s="1975">
        <f>ROUND(SUM(AF26+AF36+AF43+AF51),1)</f>
        <v>1845.3</v>
      </c>
      <c r="AG53" s="1998"/>
      <c r="AH53" s="2467"/>
      <c r="AI53" s="1975">
        <f>ROUND(SUM(AI26+AI36+AI43+AI51),1)</f>
        <v>2619.5</v>
      </c>
      <c r="AJ53" s="2468"/>
      <c r="AK53" s="1428">
        <f>ROUND(SUM(+AI53/AF53),3)</f>
        <v>1.42</v>
      </c>
    </row>
    <row r="54" spans="1:38" ht="8.25" customHeight="1">
      <c r="A54" s="2442"/>
      <c r="B54" s="2460"/>
      <c r="C54" s="2014"/>
      <c r="D54" s="1436"/>
      <c r="E54" s="1436"/>
      <c r="F54" s="1436"/>
      <c r="G54" s="1436"/>
      <c r="H54" s="1436"/>
      <c r="I54" s="1436"/>
      <c r="J54" s="1992"/>
      <c r="K54" s="1998"/>
      <c r="L54" s="1998"/>
      <c r="M54" s="1998"/>
      <c r="N54" s="1998"/>
      <c r="O54" s="1998"/>
      <c r="P54" s="1987"/>
      <c r="Q54" s="1998"/>
      <c r="R54" s="1998"/>
      <c r="S54" s="1998"/>
      <c r="T54" s="1998"/>
      <c r="U54" s="1998"/>
      <c r="V54" s="1998"/>
      <c r="W54" s="1998"/>
      <c r="X54" s="1998"/>
      <c r="Y54" s="1998"/>
      <c r="Z54" s="1998"/>
      <c r="AA54" s="1456"/>
      <c r="AB54" s="2035"/>
      <c r="AC54" s="1992"/>
      <c r="AD54" s="1987"/>
      <c r="AE54" s="2031"/>
      <c r="AF54" s="1987"/>
      <c r="AG54" s="1998"/>
      <c r="AH54" s="2467"/>
      <c r="AI54" s="1436"/>
      <c r="AJ54" s="2468"/>
      <c r="AK54" s="1425"/>
    </row>
    <row r="55" spans="1:38" ht="15" customHeight="1">
      <c r="A55" s="2442"/>
      <c r="B55" s="2453" t="s">
        <v>933</v>
      </c>
      <c r="C55" s="2474"/>
      <c r="D55" s="1436"/>
      <c r="E55" s="2475"/>
      <c r="F55" s="1436"/>
      <c r="G55" s="2475"/>
      <c r="H55" s="1436"/>
      <c r="I55" s="1436"/>
      <c r="J55" s="1992"/>
      <c r="K55" s="1998"/>
      <c r="L55" s="1998"/>
      <c r="M55" s="1998"/>
      <c r="N55" s="1998"/>
      <c r="O55" s="1998"/>
      <c r="P55" s="1987"/>
      <c r="Q55" s="1998"/>
      <c r="R55" s="1998"/>
      <c r="S55" s="1998"/>
      <c r="T55" s="1998"/>
      <c r="U55" s="1998"/>
      <c r="V55" s="1998"/>
      <c r="W55" s="1998"/>
      <c r="X55" s="1998"/>
      <c r="Y55" s="1998"/>
      <c r="Z55" s="1998"/>
      <c r="AA55" s="1456"/>
      <c r="AB55" s="2035"/>
      <c r="AC55" s="1992"/>
      <c r="AD55" s="1987"/>
      <c r="AE55" s="2031"/>
      <c r="AF55" s="1987"/>
      <c r="AG55" s="1998"/>
      <c r="AH55" s="2467"/>
      <c r="AI55" s="1436"/>
      <c r="AJ55" s="2468"/>
      <c r="AK55" s="1425"/>
    </row>
    <row r="56" spans="1:38" ht="15" customHeight="1">
      <c r="A56" s="2442"/>
      <c r="B56" s="2476" t="s">
        <v>1052</v>
      </c>
      <c r="C56" s="2474"/>
      <c r="D56" s="1436"/>
      <c r="E56" s="2475"/>
      <c r="F56" s="1436"/>
      <c r="G56" s="2475"/>
      <c r="H56" s="1436"/>
      <c r="I56" s="1436"/>
      <c r="J56" s="1992"/>
      <c r="K56" s="1998"/>
      <c r="L56" s="1998"/>
      <c r="M56" s="1998"/>
      <c r="N56" s="1998"/>
      <c r="O56" s="1998"/>
      <c r="P56" s="1987"/>
      <c r="Q56" s="1998"/>
      <c r="R56" s="1998"/>
      <c r="S56" s="1998"/>
      <c r="T56" s="1998"/>
      <c r="U56" s="1998"/>
      <c r="V56" s="1998"/>
      <c r="W56" s="1998"/>
      <c r="X56" s="1998"/>
      <c r="Y56" s="1998"/>
      <c r="Z56" s="1998"/>
      <c r="AA56" s="1456"/>
      <c r="AB56" s="2038"/>
      <c r="AC56" s="1992"/>
      <c r="AD56" s="1987"/>
      <c r="AE56" s="2031"/>
      <c r="AF56" s="1992"/>
      <c r="AG56" s="1998"/>
      <c r="AH56" s="2467"/>
      <c r="AI56" s="1436"/>
      <c r="AJ56" s="2468"/>
      <c r="AK56" s="1425"/>
    </row>
    <row r="57" spans="1:38" ht="15" customHeight="1">
      <c r="A57" s="2442"/>
      <c r="B57" s="2476" t="s">
        <v>931</v>
      </c>
      <c r="C57" s="2476"/>
      <c r="D57" s="3876">
        <f t="shared" ref="D57:D91" si="11">$AC57</f>
        <v>0.4</v>
      </c>
      <c r="E57" s="2475"/>
      <c r="F57" s="1781"/>
      <c r="G57" s="2475"/>
      <c r="H57" s="1781"/>
      <c r="I57" s="1436"/>
      <c r="J57" s="1781"/>
      <c r="K57" s="1990"/>
      <c r="L57" s="1781"/>
      <c r="M57" s="1990"/>
      <c r="N57" s="1781"/>
      <c r="O57" s="1990"/>
      <c r="P57" s="1781"/>
      <c r="Q57" s="1990"/>
      <c r="R57" s="1781"/>
      <c r="S57" s="1990"/>
      <c r="T57" s="1781"/>
      <c r="U57" s="1990"/>
      <c r="V57" s="1781"/>
      <c r="W57" s="1990"/>
      <c r="X57" s="1781"/>
      <c r="Y57" s="1990"/>
      <c r="Z57" s="1781"/>
      <c r="AA57" s="1991"/>
      <c r="AB57" s="1994"/>
      <c r="AC57" s="1797">
        <v>0.4</v>
      </c>
      <c r="AD57" s="2033"/>
      <c r="AE57" s="1994" t="s">
        <v>14</v>
      </c>
      <c r="AF57" s="1797">
        <v>0.4</v>
      </c>
      <c r="AG57" s="2477"/>
      <c r="AH57" s="2478"/>
      <c r="AI57" s="1436">
        <f>ROUND(SUM(+AC57-AF57),1)</f>
        <v>0</v>
      </c>
      <c r="AJ57" s="2468"/>
      <c r="AK57" s="1431">
        <f>ROUND(IF(AF57=0,1,AI57/ABS(AF57)),3)</f>
        <v>0</v>
      </c>
    </row>
    <row r="58" spans="1:38" ht="15" customHeight="1">
      <c r="A58" s="2442"/>
      <c r="B58" s="2476" t="s">
        <v>932</v>
      </c>
      <c r="C58" s="2476"/>
      <c r="D58" s="3876">
        <f t="shared" si="11"/>
        <v>1</v>
      </c>
      <c r="E58" s="2475"/>
      <c r="F58" s="1781"/>
      <c r="G58" s="2475"/>
      <c r="H58" s="1781"/>
      <c r="I58" s="1436"/>
      <c r="J58" s="1781"/>
      <c r="K58" s="1990"/>
      <c r="L58" s="1781"/>
      <c r="M58" s="1990"/>
      <c r="N58" s="1781"/>
      <c r="O58" s="1990"/>
      <c r="P58" s="1781"/>
      <c r="Q58" s="1990"/>
      <c r="R58" s="1781"/>
      <c r="S58" s="1990"/>
      <c r="T58" s="1781"/>
      <c r="U58" s="1990"/>
      <c r="V58" s="1781"/>
      <c r="W58" s="1990"/>
      <c r="X58" s="1781"/>
      <c r="Y58" s="1990"/>
      <c r="Z58" s="1781"/>
      <c r="AA58" s="1991"/>
      <c r="AB58" s="1994"/>
      <c r="AC58" s="1797">
        <v>1</v>
      </c>
      <c r="AD58" s="2033"/>
      <c r="AE58" s="1994" t="s">
        <v>14</v>
      </c>
      <c r="AF58" s="1797">
        <v>0.7</v>
      </c>
      <c r="AG58" s="1999"/>
      <c r="AH58" s="2467"/>
      <c r="AI58" s="1436">
        <f>ROUND(SUM(+AC58-AF58),1)</f>
        <v>0.3</v>
      </c>
      <c r="AJ58" s="2468"/>
      <c r="AK58" s="1431">
        <f>ROUND(IF(AF58=0,0,AI58/ABS(AF58)),3)</f>
        <v>0.42899999999999999</v>
      </c>
    </row>
    <row r="59" spans="1:38" ht="15" customHeight="1">
      <c r="A59" s="2442"/>
      <c r="B59" s="2476" t="s">
        <v>1053</v>
      </c>
      <c r="C59" s="2476"/>
      <c r="D59" s="3876"/>
      <c r="E59" s="2475"/>
      <c r="F59" s="1781"/>
      <c r="G59" s="2475"/>
      <c r="H59" s="1781"/>
      <c r="I59" s="1436"/>
      <c r="J59" s="1781"/>
      <c r="K59" s="1987"/>
      <c r="L59" s="1781"/>
      <c r="M59" s="1987"/>
      <c r="N59" s="1781"/>
      <c r="O59" s="1987"/>
      <c r="P59" s="1781"/>
      <c r="Q59" s="1987"/>
      <c r="R59" s="1781"/>
      <c r="S59" s="1987"/>
      <c r="T59" s="1781"/>
      <c r="U59" s="1987"/>
      <c r="V59" s="1781"/>
      <c r="W59" s="1987"/>
      <c r="X59" s="1781"/>
      <c r="Y59" s="1987"/>
      <c r="Z59" s="1781"/>
      <c r="AA59" s="1983"/>
      <c r="AB59" s="2039"/>
      <c r="AC59" s="3144"/>
      <c r="AD59" s="1969"/>
      <c r="AE59" s="1989"/>
      <c r="AF59" s="3144"/>
      <c r="AG59" s="1999"/>
      <c r="AH59" s="2467"/>
      <c r="AI59" s="1436"/>
      <c r="AJ59" s="2468"/>
      <c r="AK59" s="1425"/>
    </row>
    <row r="60" spans="1:38" ht="15" customHeight="1">
      <c r="A60" s="2442"/>
      <c r="B60" s="2476" t="s">
        <v>936</v>
      </c>
      <c r="C60" s="2476"/>
      <c r="D60" s="3876">
        <f t="shared" si="11"/>
        <v>0</v>
      </c>
      <c r="E60" s="2475"/>
      <c r="F60" s="1781"/>
      <c r="G60" s="2475"/>
      <c r="H60" s="1781"/>
      <c r="I60" s="1436"/>
      <c r="J60" s="1781"/>
      <c r="K60" s="1990"/>
      <c r="L60" s="1781"/>
      <c r="M60" s="1990"/>
      <c r="N60" s="1781"/>
      <c r="O60" s="1990"/>
      <c r="P60" s="1781"/>
      <c r="Q60" s="1990"/>
      <c r="R60" s="1781"/>
      <c r="S60" s="1990"/>
      <c r="T60" s="1781"/>
      <c r="U60" s="1990"/>
      <c r="V60" s="1781"/>
      <c r="W60" s="1990"/>
      <c r="X60" s="1781"/>
      <c r="Y60" s="1990"/>
      <c r="Z60" s="1781"/>
      <c r="AA60" s="1991"/>
      <c r="AB60" s="1994"/>
      <c r="AC60" s="1797">
        <v>0</v>
      </c>
      <c r="AD60" s="2033"/>
      <c r="AE60" s="1994" t="s">
        <v>14</v>
      </c>
      <c r="AF60" s="1797">
        <v>0</v>
      </c>
      <c r="AG60" s="2477"/>
      <c r="AH60" s="2478"/>
      <c r="AI60" s="1436">
        <f>ROUND(SUM(+AC60-AF60),1)</f>
        <v>0</v>
      </c>
      <c r="AJ60" s="2468"/>
      <c r="AK60" s="1431">
        <f>ROUND(IF(AF60=0,0,AI60/ABS(AF60)),3)</f>
        <v>0</v>
      </c>
    </row>
    <row r="61" spans="1:38" ht="15" customHeight="1">
      <c r="A61" s="2442"/>
      <c r="B61" s="2476" t="s">
        <v>937</v>
      </c>
      <c r="C61" s="2476"/>
      <c r="D61" s="3876">
        <f t="shared" si="11"/>
        <v>1.8</v>
      </c>
      <c r="E61" s="2475"/>
      <c r="F61" s="1781"/>
      <c r="G61" s="2475"/>
      <c r="H61" s="1781"/>
      <c r="I61" s="1436"/>
      <c r="J61" s="1781"/>
      <c r="K61" s="1990"/>
      <c r="L61" s="1781"/>
      <c r="M61" s="1990"/>
      <c r="N61" s="1781"/>
      <c r="O61" s="1990"/>
      <c r="P61" s="1781"/>
      <c r="Q61" s="1990"/>
      <c r="R61" s="1781"/>
      <c r="S61" s="1990"/>
      <c r="T61" s="1781"/>
      <c r="U61" s="1990"/>
      <c r="V61" s="1781"/>
      <c r="W61" s="1990"/>
      <c r="X61" s="1781"/>
      <c r="Y61" s="1990"/>
      <c r="Z61" s="1781"/>
      <c r="AA61" s="1991"/>
      <c r="AB61" s="1994"/>
      <c r="AC61" s="1797">
        <v>1.8</v>
      </c>
      <c r="AD61" s="2033"/>
      <c r="AE61" s="1994" t="s">
        <v>14</v>
      </c>
      <c r="AF61" s="1797">
        <v>1.9</v>
      </c>
      <c r="AG61" s="2477"/>
      <c r="AH61" s="2478"/>
      <c r="AI61" s="1436">
        <f>ROUND(SUM(+AC61-AF61),1)</f>
        <v>-0.1</v>
      </c>
      <c r="AJ61" s="2468"/>
      <c r="AK61" s="1431">
        <f>ROUND(IF(AF61=0,1,AI61/ABS(AF61)),3)</f>
        <v>-5.2999999999999999E-2</v>
      </c>
    </row>
    <row r="62" spans="1:38" ht="15" customHeight="1">
      <c r="A62" s="2442"/>
      <c r="B62" s="2476" t="s">
        <v>938</v>
      </c>
      <c r="C62" s="2476"/>
      <c r="D62" s="3876">
        <f t="shared" si="11"/>
        <v>0</v>
      </c>
      <c r="E62" s="2475"/>
      <c r="F62" s="1781"/>
      <c r="G62" s="2475"/>
      <c r="H62" s="1781"/>
      <c r="I62" s="1436"/>
      <c r="J62" s="1781"/>
      <c r="K62" s="1990"/>
      <c r="L62" s="1781"/>
      <c r="M62" s="1990"/>
      <c r="N62" s="1781"/>
      <c r="O62" s="1990"/>
      <c r="P62" s="1781"/>
      <c r="Q62" s="1990"/>
      <c r="R62" s="1781"/>
      <c r="S62" s="1990"/>
      <c r="T62" s="1781"/>
      <c r="U62" s="1990"/>
      <c r="V62" s="1781"/>
      <c r="W62" s="1990"/>
      <c r="X62" s="1781"/>
      <c r="Y62" s="1990"/>
      <c r="Z62" s="1781"/>
      <c r="AA62" s="1991"/>
      <c r="AB62" s="1994"/>
      <c r="AC62" s="1797">
        <v>0</v>
      </c>
      <c r="AD62" s="2033"/>
      <c r="AE62" s="1994" t="s">
        <v>14</v>
      </c>
      <c r="AF62" s="1797">
        <v>0</v>
      </c>
      <c r="AG62" s="2477"/>
      <c r="AH62" s="2478"/>
      <c r="AI62" s="1436">
        <f>ROUND(SUM(+AC62-AF62),1)</f>
        <v>0</v>
      </c>
      <c r="AJ62" s="2468"/>
      <c r="AK62" s="1431">
        <f>ROUND(IF(AF62=0,0,AI62/ABS(AF62)),3)</f>
        <v>0</v>
      </c>
    </row>
    <row r="63" spans="1:38" ht="15.5">
      <c r="A63" s="2442"/>
      <c r="B63" s="2476" t="s">
        <v>939</v>
      </c>
      <c r="C63" s="2476"/>
      <c r="D63" s="3876">
        <f t="shared" si="11"/>
        <v>0</v>
      </c>
      <c r="E63" s="2475"/>
      <c r="F63" s="1781"/>
      <c r="G63" s="2475"/>
      <c r="H63" s="1781"/>
      <c r="I63" s="1436"/>
      <c r="J63" s="1781"/>
      <c r="K63" s="1990"/>
      <c r="L63" s="1781"/>
      <c r="M63" s="1990"/>
      <c r="N63" s="1781"/>
      <c r="O63" s="1990"/>
      <c r="P63" s="1781"/>
      <c r="Q63" s="1990"/>
      <c r="R63" s="1781"/>
      <c r="S63" s="1990"/>
      <c r="T63" s="1781"/>
      <c r="U63" s="1990"/>
      <c r="V63" s="1781"/>
      <c r="W63" s="1990"/>
      <c r="X63" s="1781"/>
      <c r="Y63" s="1990"/>
      <c r="Z63" s="1781"/>
      <c r="AA63" s="1991"/>
      <c r="AB63" s="1994"/>
      <c r="AC63" s="1797">
        <v>0</v>
      </c>
      <c r="AD63" s="2033"/>
      <c r="AE63" s="1994" t="s">
        <v>14</v>
      </c>
      <c r="AF63" s="1797">
        <v>0</v>
      </c>
      <c r="AG63" s="2477"/>
      <c r="AH63" s="2478"/>
      <c r="AI63" s="1436">
        <f>ROUND(SUM(+AC63-AF63),1)</f>
        <v>0</v>
      </c>
      <c r="AJ63" s="2468"/>
      <c r="AK63" s="1431">
        <f>ROUND(IF(AF63=0,0,AI63/ABS(AF63)),3)</f>
        <v>0</v>
      </c>
    </row>
    <row r="64" spans="1:38" ht="15" customHeight="1">
      <c r="A64" s="2442"/>
      <c r="B64" s="2476" t="s">
        <v>1058</v>
      </c>
      <c r="C64" s="2476"/>
      <c r="D64" s="3876"/>
      <c r="E64" s="2475"/>
      <c r="F64" s="1781"/>
      <c r="G64" s="2475"/>
      <c r="H64" s="1781"/>
      <c r="I64" s="1436"/>
      <c r="J64" s="1781"/>
      <c r="K64" s="1987"/>
      <c r="L64" s="1781"/>
      <c r="M64" s="1987"/>
      <c r="N64" s="1781"/>
      <c r="O64" s="1987"/>
      <c r="P64" s="1781"/>
      <c r="Q64" s="1987"/>
      <c r="R64" s="1781"/>
      <c r="S64" s="1987"/>
      <c r="T64" s="1781"/>
      <c r="U64" s="1987"/>
      <c r="V64" s="1781"/>
      <c r="W64" s="1987"/>
      <c r="X64" s="1781"/>
      <c r="Y64" s="1987"/>
      <c r="Z64" s="1781"/>
      <c r="AA64" s="1983"/>
      <c r="AB64" s="2039"/>
      <c r="AC64" s="3144"/>
      <c r="AD64" s="1969"/>
      <c r="AE64" s="1989"/>
      <c r="AF64" s="3144"/>
      <c r="AG64" s="1999"/>
      <c r="AH64" s="2467"/>
      <c r="AI64" s="1436"/>
      <c r="AJ64" s="2468"/>
      <c r="AK64" s="1425"/>
    </row>
    <row r="65" spans="1:37" ht="15" customHeight="1">
      <c r="A65" s="2442"/>
      <c r="B65" s="2476" t="s">
        <v>940</v>
      </c>
      <c r="C65" s="2476"/>
      <c r="D65" s="3876">
        <f t="shared" si="11"/>
        <v>5.3</v>
      </c>
      <c r="E65" s="2475"/>
      <c r="F65" s="1781"/>
      <c r="G65" s="2475"/>
      <c r="H65" s="1781"/>
      <c r="I65" s="1436"/>
      <c r="J65" s="1781"/>
      <c r="K65" s="1990"/>
      <c r="L65" s="1781"/>
      <c r="M65" s="1990"/>
      <c r="N65" s="1781"/>
      <c r="O65" s="1990"/>
      <c r="P65" s="1781"/>
      <c r="Q65" s="1990"/>
      <c r="R65" s="1781"/>
      <c r="S65" s="1990"/>
      <c r="T65" s="1781"/>
      <c r="U65" s="1990"/>
      <c r="V65" s="1781"/>
      <c r="W65" s="1990"/>
      <c r="X65" s="1781"/>
      <c r="Y65" s="1990"/>
      <c r="Z65" s="1781"/>
      <c r="AA65" s="1991"/>
      <c r="AB65" s="1994"/>
      <c r="AC65" s="1797">
        <v>5.3</v>
      </c>
      <c r="AD65" s="2033"/>
      <c r="AE65" s="1994" t="s">
        <v>14</v>
      </c>
      <c r="AF65" s="1797">
        <v>2.2000000000000002</v>
      </c>
      <c r="AG65" s="1999"/>
      <c r="AH65" s="2467"/>
      <c r="AI65" s="1436">
        <f t="shared" ref="AI65:AI72" si="12">ROUND(SUM(+AC65-AF65),1)</f>
        <v>3.1</v>
      </c>
      <c r="AJ65" s="2468"/>
      <c r="AK65" s="1431">
        <f>ROUND(IF(AF65=0,0,AI65/ABS(AF65)),3)</f>
        <v>1.409</v>
      </c>
    </row>
    <row r="66" spans="1:37" ht="15" customHeight="1">
      <c r="A66" s="2442"/>
      <c r="B66" s="2476" t="s">
        <v>1150</v>
      </c>
      <c r="C66" s="2476"/>
      <c r="D66" s="3876">
        <f t="shared" si="11"/>
        <v>0</v>
      </c>
      <c r="E66" s="2475"/>
      <c r="F66" s="1781"/>
      <c r="G66" s="2475"/>
      <c r="H66" s="1781"/>
      <c r="I66" s="1436"/>
      <c r="J66" s="1781"/>
      <c r="K66" s="1990"/>
      <c r="L66" s="1781"/>
      <c r="M66" s="1990"/>
      <c r="N66" s="1781"/>
      <c r="O66" s="1990"/>
      <c r="P66" s="1781"/>
      <c r="Q66" s="1990"/>
      <c r="R66" s="1781"/>
      <c r="S66" s="1990"/>
      <c r="T66" s="1781"/>
      <c r="U66" s="1990"/>
      <c r="V66" s="1781"/>
      <c r="W66" s="1990"/>
      <c r="X66" s="1781"/>
      <c r="Y66" s="1990"/>
      <c r="Z66" s="1781"/>
      <c r="AA66" s="1991"/>
      <c r="AB66" s="2040"/>
      <c r="AC66" s="1797">
        <v>0</v>
      </c>
      <c r="AD66" s="2033"/>
      <c r="AE66" s="2040" t="s">
        <v>14</v>
      </c>
      <c r="AF66" s="1797">
        <v>0</v>
      </c>
      <c r="AG66" s="1999"/>
      <c r="AH66" s="2467"/>
      <c r="AI66" s="1436">
        <f>ROUND(SUM(+AC66-AF66),1)</f>
        <v>0</v>
      </c>
      <c r="AJ66" s="2468"/>
      <c r="AK66" s="1431">
        <f>ROUND(IF(AF66=0,0,AI66/ABS(AF66)),3)</f>
        <v>0</v>
      </c>
    </row>
    <row r="67" spans="1:37" ht="15" customHeight="1">
      <c r="A67" s="2442"/>
      <c r="B67" s="2476" t="s">
        <v>941</v>
      </c>
      <c r="C67" s="2476"/>
      <c r="D67" s="3876">
        <f t="shared" si="11"/>
        <v>14</v>
      </c>
      <c r="E67" s="2475"/>
      <c r="F67" s="1781"/>
      <c r="G67" s="2475"/>
      <c r="H67" s="1781"/>
      <c r="I67" s="1436"/>
      <c r="J67" s="1781"/>
      <c r="K67" s="1990"/>
      <c r="L67" s="1781"/>
      <c r="M67" s="1990"/>
      <c r="N67" s="1781"/>
      <c r="O67" s="1990"/>
      <c r="P67" s="1781"/>
      <c r="Q67" s="1990"/>
      <c r="R67" s="1781"/>
      <c r="S67" s="1990"/>
      <c r="T67" s="1781"/>
      <c r="U67" s="1990"/>
      <c r="V67" s="1781"/>
      <c r="W67" s="1990"/>
      <c r="X67" s="1781"/>
      <c r="Y67" s="1990"/>
      <c r="Z67" s="1781"/>
      <c r="AA67" s="1991"/>
      <c r="AB67" s="1994"/>
      <c r="AC67" s="1797">
        <v>14</v>
      </c>
      <c r="AD67" s="2033"/>
      <c r="AE67" s="1994" t="s">
        <v>14</v>
      </c>
      <c r="AF67" s="1797">
        <v>19</v>
      </c>
      <c r="AG67" s="2477"/>
      <c r="AH67" s="2478"/>
      <c r="AI67" s="1436">
        <f t="shared" si="12"/>
        <v>-5</v>
      </c>
      <c r="AJ67" s="2468"/>
      <c r="AK67" s="1431">
        <f>ROUND(IF(AF67=0,0,AI67/ABS(AF67)),3)</f>
        <v>-0.26300000000000001</v>
      </c>
    </row>
    <row r="68" spans="1:37" ht="15" customHeight="1">
      <c r="A68" s="2442"/>
      <c r="B68" s="2476" t="s">
        <v>942</v>
      </c>
      <c r="C68" s="2476"/>
      <c r="D68" s="3876">
        <f t="shared" si="11"/>
        <v>20.8</v>
      </c>
      <c r="E68" s="2475"/>
      <c r="F68" s="1781"/>
      <c r="G68" s="2475"/>
      <c r="H68" s="1781"/>
      <c r="I68" s="1436"/>
      <c r="J68" s="1781"/>
      <c r="K68" s="1990"/>
      <c r="L68" s="1781"/>
      <c r="M68" s="1990"/>
      <c r="N68" s="1781"/>
      <c r="O68" s="1990"/>
      <c r="P68" s="1781"/>
      <c r="Q68" s="1990"/>
      <c r="R68" s="1781"/>
      <c r="S68" s="1990"/>
      <c r="T68" s="1781"/>
      <c r="U68" s="1990"/>
      <c r="V68" s="1781"/>
      <c r="W68" s="1990"/>
      <c r="X68" s="1781"/>
      <c r="Y68" s="1990"/>
      <c r="Z68" s="1781"/>
      <c r="AA68" s="1991"/>
      <c r="AB68" s="1994"/>
      <c r="AC68" s="1797">
        <v>20.8</v>
      </c>
      <c r="AD68" s="2033"/>
      <c r="AE68" s="1994" t="s">
        <v>14</v>
      </c>
      <c r="AF68" s="1797">
        <v>1.1000000000000001</v>
      </c>
      <c r="AG68" s="2477"/>
      <c r="AH68" s="2478"/>
      <c r="AI68" s="1436">
        <f t="shared" si="12"/>
        <v>19.7</v>
      </c>
      <c r="AJ68" s="2468"/>
      <c r="AK68" s="1472">
        <f>ROUND(IF(AF68=0,0,AI68/ABS(AF68)),3)</f>
        <v>17.908999999999999</v>
      </c>
    </row>
    <row r="69" spans="1:37" ht="15" customHeight="1">
      <c r="A69" s="2442"/>
      <c r="B69" s="2476" t="s">
        <v>943</v>
      </c>
      <c r="C69" s="2476"/>
      <c r="D69" s="3876">
        <f t="shared" si="11"/>
        <v>0.1</v>
      </c>
      <c r="E69" s="2475"/>
      <c r="F69" s="1781"/>
      <c r="G69" s="2475"/>
      <c r="H69" s="1781"/>
      <c r="I69" s="1436"/>
      <c r="J69" s="1781"/>
      <c r="K69" s="1990"/>
      <c r="L69" s="1781"/>
      <c r="M69" s="1990"/>
      <c r="N69" s="1781"/>
      <c r="O69" s="1990"/>
      <c r="P69" s="1781"/>
      <c r="Q69" s="1990"/>
      <c r="R69" s="1781"/>
      <c r="S69" s="1990"/>
      <c r="T69" s="1781"/>
      <c r="U69" s="1990"/>
      <c r="V69" s="1781"/>
      <c r="W69" s="1990"/>
      <c r="X69" s="1781"/>
      <c r="Y69" s="1990"/>
      <c r="Z69" s="1781"/>
      <c r="AA69" s="1991"/>
      <c r="AB69" s="1994"/>
      <c r="AC69" s="1797">
        <v>0.1</v>
      </c>
      <c r="AD69" s="2033"/>
      <c r="AE69" s="1994" t="s">
        <v>14</v>
      </c>
      <c r="AF69" s="1797">
        <v>0.1</v>
      </c>
      <c r="AG69" s="2477"/>
      <c r="AH69" s="2478"/>
      <c r="AI69" s="1436">
        <f t="shared" si="12"/>
        <v>0</v>
      </c>
      <c r="AJ69" s="2468"/>
      <c r="AK69" s="1431">
        <f>ROUND(IF(AF69=0,0,AI69/ABS(AF69)),3)</f>
        <v>0</v>
      </c>
    </row>
    <row r="70" spans="1:37" ht="15" customHeight="1">
      <c r="A70" s="2442"/>
      <c r="B70" s="2476" t="s">
        <v>944</v>
      </c>
      <c r="C70" s="2476"/>
      <c r="D70" s="3876">
        <f t="shared" si="11"/>
        <v>20.2</v>
      </c>
      <c r="E70" s="2475"/>
      <c r="F70" s="1781"/>
      <c r="G70" s="2475"/>
      <c r="H70" s="1781"/>
      <c r="I70" s="1436"/>
      <c r="J70" s="1781"/>
      <c r="K70" s="1990"/>
      <c r="L70" s="1781"/>
      <c r="M70" s="1990"/>
      <c r="N70" s="1781"/>
      <c r="O70" s="1990"/>
      <c r="P70" s="1781"/>
      <c r="Q70" s="1990"/>
      <c r="R70" s="1781"/>
      <c r="S70" s="1990"/>
      <c r="T70" s="1781"/>
      <c r="U70" s="1990"/>
      <c r="V70" s="1781"/>
      <c r="W70" s="1990"/>
      <c r="X70" s="1781"/>
      <c r="Y70" s="1990"/>
      <c r="Z70" s="1781"/>
      <c r="AA70" s="1991"/>
      <c r="AB70" s="1994"/>
      <c r="AC70" s="1797">
        <v>20.2</v>
      </c>
      <c r="AD70" s="2033"/>
      <c r="AE70" s="1994" t="s">
        <v>14</v>
      </c>
      <c r="AF70" s="1797">
        <v>-100.4</v>
      </c>
      <c r="AG70" s="2477"/>
      <c r="AH70" s="2478"/>
      <c r="AI70" s="1436">
        <f t="shared" si="12"/>
        <v>120.6</v>
      </c>
      <c r="AJ70" s="2468"/>
      <c r="AK70" s="1472">
        <f>ROUND(IF(AF70=0,1,AI70/ABS(AF70)),3)</f>
        <v>1.2010000000000001</v>
      </c>
    </row>
    <row r="71" spans="1:37" ht="15" customHeight="1">
      <c r="A71" s="2442"/>
      <c r="B71" s="2476" t="s">
        <v>945</v>
      </c>
      <c r="C71" s="2476"/>
      <c r="D71" s="3876">
        <f t="shared" si="11"/>
        <v>1.2</v>
      </c>
      <c r="E71" s="2475"/>
      <c r="F71" s="1781"/>
      <c r="G71" s="2475"/>
      <c r="H71" s="1781"/>
      <c r="I71" s="1436"/>
      <c r="J71" s="1781"/>
      <c r="K71" s="1990"/>
      <c r="L71" s="1781"/>
      <c r="M71" s="1990"/>
      <c r="N71" s="1781"/>
      <c r="O71" s="1990"/>
      <c r="P71" s="1781"/>
      <c r="Q71" s="1990"/>
      <c r="R71" s="1781"/>
      <c r="S71" s="1990"/>
      <c r="T71" s="1781"/>
      <c r="U71" s="1990"/>
      <c r="V71" s="1781"/>
      <c r="W71" s="1990"/>
      <c r="X71" s="1781"/>
      <c r="Y71" s="1990"/>
      <c r="Z71" s="1781"/>
      <c r="AA71" s="1991"/>
      <c r="AB71" s="1994"/>
      <c r="AC71" s="1797">
        <v>1.2</v>
      </c>
      <c r="AD71" s="2033"/>
      <c r="AE71" s="1994" t="s">
        <v>14</v>
      </c>
      <c r="AF71" s="1797">
        <v>0</v>
      </c>
      <c r="AG71" s="2477"/>
      <c r="AH71" s="2478"/>
      <c r="AI71" s="1436">
        <f t="shared" si="12"/>
        <v>1.2</v>
      </c>
      <c r="AJ71" s="2468"/>
      <c r="AK71" s="1431">
        <f>ROUND(IF(AF71=0,0,AI71/ABS(AF71)),3)</f>
        <v>0</v>
      </c>
    </row>
    <row r="72" spans="1:37" ht="15" customHeight="1">
      <c r="A72" s="2442"/>
      <c r="B72" s="2476" t="s">
        <v>934</v>
      </c>
      <c r="C72" s="2476"/>
      <c r="D72" s="3876">
        <f t="shared" si="11"/>
        <v>41.4</v>
      </c>
      <c r="E72" s="2475"/>
      <c r="F72" s="1781"/>
      <c r="G72" s="2475"/>
      <c r="H72" s="1781"/>
      <c r="I72" s="1436"/>
      <c r="J72" s="1781"/>
      <c r="K72" s="1990"/>
      <c r="L72" s="1781"/>
      <c r="M72" s="1990"/>
      <c r="N72" s="1781"/>
      <c r="O72" s="1990"/>
      <c r="P72" s="1781"/>
      <c r="Q72" s="1990"/>
      <c r="R72" s="1781"/>
      <c r="S72" s="1990"/>
      <c r="T72" s="1781"/>
      <c r="U72" s="1990"/>
      <c r="V72" s="1781"/>
      <c r="W72" s="1990"/>
      <c r="X72" s="1781"/>
      <c r="Y72" s="1990"/>
      <c r="Z72" s="1781"/>
      <c r="AA72" s="1991"/>
      <c r="AB72" s="1994"/>
      <c r="AC72" s="1797">
        <v>41.4</v>
      </c>
      <c r="AD72" s="2033"/>
      <c r="AE72" s="1994" t="s">
        <v>14</v>
      </c>
      <c r="AF72" s="1797">
        <v>88.9</v>
      </c>
      <c r="AG72" s="2477"/>
      <c r="AH72" s="2478"/>
      <c r="AI72" s="1436">
        <f t="shared" si="12"/>
        <v>-47.5</v>
      </c>
      <c r="AJ72" s="2468"/>
      <c r="AK72" s="1472">
        <f>ROUND(IF(AF72=0,0,AI72/ABS(AF72)),3)</f>
        <v>-0.53400000000000003</v>
      </c>
    </row>
    <row r="73" spans="1:37" ht="15" customHeight="1">
      <c r="A73" s="2442"/>
      <c r="B73" s="2476" t="s">
        <v>935</v>
      </c>
      <c r="C73" s="2476"/>
      <c r="D73" s="3876">
        <f t="shared" si="11"/>
        <v>1.5</v>
      </c>
      <c r="E73" s="2475"/>
      <c r="F73" s="1781"/>
      <c r="G73" s="2475"/>
      <c r="H73" s="1781"/>
      <c r="I73" s="1436"/>
      <c r="J73" s="1781"/>
      <c r="K73" s="1990"/>
      <c r="L73" s="1781"/>
      <c r="M73" s="1990"/>
      <c r="N73" s="1781"/>
      <c r="O73" s="1990"/>
      <c r="P73" s="1781"/>
      <c r="Q73" s="1990"/>
      <c r="R73" s="1781"/>
      <c r="S73" s="1990"/>
      <c r="T73" s="1781"/>
      <c r="U73" s="1990"/>
      <c r="V73" s="1781"/>
      <c r="W73" s="1990"/>
      <c r="X73" s="1781"/>
      <c r="Y73" s="1990"/>
      <c r="Z73" s="1781"/>
      <c r="AA73" s="1991"/>
      <c r="AB73" s="1994"/>
      <c r="AC73" s="1797">
        <v>1.5</v>
      </c>
      <c r="AD73" s="2033"/>
      <c r="AE73" s="1994" t="s">
        <v>14</v>
      </c>
      <c r="AF73" s="1797">
        <v>15.6</v>
      </c>
      <c r="AG73" s="1999"/>
      <c r="AH73" s="2467"/>
      <c r="AI73" s="1436">
        <f>ROUND(SUM(+AC73-AF73),1)</f>
        <v>-14.1</v>
      </c>
      <c r="AJ73" s="2468"/>
      <c r="AK73" s="1472">
        <f>ROUND(IF(AF73=0,1,AI73/ABS(AF73)),3)</f>
        <v>-0.90400000000000003</v>
      </c>
    </row>
    <row r="74" spans="1:37" ht="15" customHeight="1">
      <c r="A74" s="2442"/>
      <c r="B74" s="2476" t="s">
        <v>953</v>
      </c>
      <c r="C74" s="2476"/>
      <c r="D74" s="3876">
        <f>$AC74</f>
        <v>0</v>
      </c>
      <c r="E74" s="2475"/>
      <c r="F74" s="1781"/>
      <c r="G74" s="2475"/>
      <c r="H74" s="1781"/>
      <c r="I74" s="1436"/>
      <c r="J74" s="1781"/>
      <c r="K74" s="1990"/>
      <c r="L74" s="1781"/>
      <c r="M74" s="1990"/>
      <c r="N74" s="1781"/>
      <c r="O74" s="1990"/>
      <c r="P74" s="1781"/>
      <c r="Q74" s="1990"/>
      <c r="R74" s="1781"/>
      <c r="S74" s="1990"/>
      <c r="T74" s="1781"/>
      <c r="U74" s="1990"/>
      <c r="V74" s="1781"/>
      <c r="W74" s="1990"/>
      <c r="X74" s="1781"/>
      <c r="Y74" s="1990"/>
      <c r="Z74" s="1781"/>
      <c r="AA74" s="1991"/>
      <c r="AB74" s="1994"/>
      <c r="AC74" s="1797">
        <v>0</v>
      </c>
      <c r="AD74" s="2033"/>
      <c r="AE74" s="1994" t="s">
        <v>14</v>
      </c>
      <c r="AF74" s="1797">
        <v>0</v>
      </c>
      <c r="AG74" s="2477"/>
      <c r="AH74" s="2478"/>
      <c r="AI74" s="1436">
        <f>ROUND(SUM(+AC74-AF74),1)</f>
        <v>0</v>
      </c>
      <c r="AJ74" s="2468"/>
      <c r="AK74" s="1431">
        <f>ROUND(IF(AF74=0,0,AI74/ABS(AF74)),3)</f>
        <v>0</v>
      </c>
    </row>
    <row r="75" spans="1:37" ht="15" customHeight="1">
      <c r="A75" s="2442"/>
      <c r="B75" s="2476" t="s">
        <v>1056</v>
      </c>
      <c r="C75" s="2476"/>
      <c r="D75" s="3876"/>
      <c r="E75" s="2475"/>
      <c r="F75" s="1781"/>
      <c r="G75" s="2475"/>
      <c r="H75" s="1781"/>
      <c r="I75" s="1436"/>
      <c r="J75" s="1781"/>
      <c r="K75" s="1987"/>
      <c r="L75" s="1781"/>
      <c r="M75" s="1987"/>
      <c r="N75" s="1781"/>
      <c r="O75" s="1987"/>
      <c r="P75" s="1781"/>
      <c r="Q75" s="1987"/>
      <c r="R75" s="1781"/>
      <c r="S75" s="1987"/>
      <c r="T75" s="1781"/>
      <c r="U75" s="1987"/>
      <c r="V75" s="1781"/>
      <c r="W75" s="1987"/>
      <c r="X75" s="1781"/>
      <c r="Y75" s="1987"/>
      <c r="Z75" s="1781"/>
      <c r="AA75" s="1983"/>
      <c r="AB75" s="2039"/>
      <c r="AC75" s="3144"/>
      <c r="AD75" s="1969"/>
      <c r="AE75" s="1989"/>
      <c r="AF75" s="3144"/>
      <c r="AG75" s="1999"/>
      <c r="AH75" s="2467"/>
      <c r="AI75" s="1436"/>
      <c r="AJ75" s="2468"/>
      <c r="AK75" s="1425"/>
    </row>
    <row r="76" spans="1:37" ht="15" customHeight="1">
      <c r="A76" s="2442"/>
      <c r="B76" s="2476" t="s">
        <v>949</v>
      </c>
      <c r="C76" s="2476"/>
      <c r="D76" s="3876">
        <f t="shared" si="11"/>
        <v>0</v>
      </c>
      <c r="E76" s="2475"/>
      <c r="F76" s="1781"/>
      <c r="G76" s="2475"/>
      <c r="H76" s="1781"/>
      <c r="I76" s="1436"/>
      <c r="J76" s="1781"/>
      <c r="K76" s="1987"/>
      <c r="L76" s="1781"/>
      <c r="M76" s="1987"/>
      <c r="N76" s="1781"/>
      <c r="O76" s="1987"/>
      <c r="P76" s="1781"/>
      <c r="Q76" s="1987"/>
      <c r="R76" s="1781"/>
      <c r="S76" s="1987"/>
      <c r="T76" s="1781"/>
      <c r="U76" s="1987"/>
      <c r="V76" s="1781"/>
      <c r="W76" s="1987"/>
      <c r="X76" s="1781"/>
      <c r="Y76" s="1987"/>
      <c r="Z76" s="1781"/>
      <c r="AA76" s="1983"/>
      <c r="AB76" s="3672"/>
      <c r="AC76" s="1797">
        <v>0</v>
      </c>
      <c r="AD76" s="1969"/>
      <c r="AE76" s="3160"/>
      <c r="AF76" s="1797">
        <v>0</v>
      </c>
      <c r="AG76" s="1999"/>
      <c r="AH76" s="2467"/>
      <c r="AI76" s="1436">
        <f t="shared" ref="AI76:AI80" si="13">ROUND(SUM(+AC76-AF76),1)</f>
        <v>0</v>
      </c>
      <c r="AJ76" s="2468"/>
      <c r="AK76" s="1431">
        <f>ROUND(IF(AF76=0,0,AI76/ABS(AF76)),3)</f>
        <v>0</v>
      </c>
    </row>
    <row r="77" spans="1:37" ht="15" customHeight="1">
      <c r="A77" s="2442"/>
      <c r="B77" s="2476" t="s">
        <v>950</v>
      </c>
      <c r="C77" s="2476"/>
      <c r="D77" s="3876">
        <f t="shared" si="11"/>
        <v>0</v>
      </c>
      <c r="E77" s="2475"/>
      <c r="F77" s="1781"/>
      <c r="G77" s="2475"/>
      <c r="H77" s="1781"/>
      <c r="I77" s="1436"/>
      <c r="J77" s="1781"/>
      <c r="K77" s="1990"/>
      <c r="L77" s="1781"/>
      <c r="M77" s="1990"/>
      <c r="N77" s="1781"/>
      <c r="O77" s="1990"/>
      <c r="P77" s="1781"/>
      <c r="Q77" s="1990"/>
      <c r="R77" s="1781"/>
      <c r="S77" s="1990"/>
      <c r="T77" s="1781"/>
      <c r="U77" s="1990"/>
      <c r="V77" s="1781"/>
      <c r="W77" s="1990"/>
      <c r="X77" s="1781"/>
      <c r="Y77" s="1990"/>
      <c r="Z77" s="1781"/>
      <c r="AA77" s="1991"/>
      <c r="AB77" s="1994"/>
      <c r="AC77" s="1797">
        <v>0</v>
      </c>
      <c r="AD77" s="2033"/>
      <c r="AE77" s="1994" t="s">
        <v>14</v>
      </c>
      <c r="AF77" s="1797">
        <v>0</v>
      </c>
      <c r="AG77" s="2477"/>
      <c r="AH77" s="2478"/>
      <c r="AI77" s="1436">
        <f t="shared" si="13"/>
        <v>0</v>
      </c>
      <c r="AJ77" s="2468"/>
      <c r="AK77" s="1431">
        <f>ROUND(IF(AF77=0,0,AI77/ABS(AF77)),3)</f>
        <v>0</v>
      </c>
    </row>
    <row r="78" spans="1:37" ht="15" customHeight="1">
      <c r="A78" s="2442"/>
      <c r="B78" s="2476" t="s">
        <v>951</v>
      </c>
      <c r="C78" s="2476"/>
      <c r="D78" s="3876">
        <f t="shared" si="11"/>
        <v>0</v>
      </c>
      <c r="E78" s="2475"/>
      <c r="F78" s="1781"/>
      <c r="G78" s="2475"/>
      <c r="H78" s="1781"/>
      <c r="I78" s="1436"/>
      <c r="J78" s="1781"/>
      <c r="K78" s="1990"/>
      <c r="L78" s="1781"/>
      <c r="M78" s="1990"/>
      <c r="N78" s="1781"/>
      <c r="O78" s="1990"/>
      <c r="P78" s="1781"/>
      <c r="Q78" s="1990"/>
      <c r="R78" s="1781"/>
      <c r="S78" s="1990"/>
      <c r="T78" s="1781"/>
      <c r="U78" s="1990"/>
      <c r="V78" s="1781"/>
      <c r="W78" s="1990"/>
      <c r="X78" s="1781"/>
      <c r="Y78" s="1990"/>
      <c r="Z78" s="1781"/>
      <c r="AA78" s="1991"/>
      <c r="AB78" s="1994"/>
      <c r="AC78" s="1797">
        <v>0</v>
      </c>
      <c r="AD78" s="2033"/>
      <c r="AE78" s="1994" t="s">
        <v>14</v>
      </c>
      <c r="AF78" s="1797">
        <v>0</v>
      </c>
      <c r="AG78" s="2477"/>
      <c r="AH78" s="2478"/>
      <c r="AI78" s="1436">
        <f t="shared" si="13"/>
        <v>0</v>
      </c>
      <c r="AJ78" s="2468"/>
      <c r="AK78" s="1431">
        <f>ROUND(IF(AF78=0,0,AI78/ABS(AF78)),3)</f>
        <v>0</v>
      </c>
    </row>
    <row r="79" spans="1:37" ht="15" customHeight="1">
      <c r="A79" s="2442"/>
      <c r="B79" s="2476" t="s">
        <v>952</v>
      </c>
      <c r="C79" s="2476"/>
      <c r="D79" s="3876">
        <f t="shared" si="11"/>
        <v>0</v>
      </c>
      <c r="E79" s="2475"/>
      <c r="F79" s="1781"/>
      <c r="G79" s="2475"/>
      <c r="H79" s="1781"/>
      <c r="I79" s="1436"/>
      <c r="J79" s="1781"/>
      <c r="K79" s="1990"/>
      <c r="L79" s="1781"/>
      <c r="M79" s="1990"/>
      <c r="N79" s="1781"/>
      <c r="O79" s="1990"/>
      <c r="P79" s="1781"/>
      <c r="Q79" s="1990"/>
      <c r="R79" s="1781"/>
      <c r="S79" s="1990"/>
      <c r="T79" s="1781"/>
      <c r="U79" s="1990"/>
      <c r="V79" s="1781"/>
      <c r="W79" s="1990"/>
      <c r="X79" s="1781"/>
      <c r="Y79" s="1990"/>
      <c r="Z79" s="1781"/>
      <c r="AA79" s="1991"/>
      <c r="AB79" s="1994"/>
      <c r="AC79" s="1797">
        <v>0</v>
      </c>
      <c r="AD79" s="2033"/>
      <c r="AE79" s="1994" t="s">
        <v>14</v>
      </c>
      <c r="AF79" s="1797">
        <v>0</v>
      </c>
      <c r="AG79" s="2477"/>
      <c r="AH79" s="2478"/>
      <c r="AI79" s="1436">
        <f t="shared" si="13"/>
        <v>0</v>
      </c>
      <c r="AJ79" s="2468"/>
      <c r="AK79" s="1431">
        <f>ROUND(IF(AF79=0,0,AI79/ABS(AF79)),3)</f>
        <v>0</v>
      </c>
    </row>
    <row r="80" spans="1:37" ht="15" customHeight="1">
      <c r="A80" s="2442"/>
      <c r="B80" s="2476" t="s">
        <v>954</v>
      </c>
      <c r="C80" s="2476"/>
      <c r="D80" s="3876">
        <f t="shared" si="11"/>
        <v>0.2</v>
      </c>
      <c r="E80" s="2475"/>
      <c r="F80" s="1781"/>
      <c r="G80" s="2475"/>
      <c r="H80" s="1781"/>
      <c r="I80" s="1436"/>
      <c r="J80" s="1781"/>
      <c r="K80" s="1990"/>
      <c r="L80" s="1781"/>
      <c r="M80" s="1990"/>
      <c r="N80" s="1781"/>
      <c r="O80" s="1990"/>
      <c r="P80" s="1781"/>
      <c r="Q80" s="1990"/>
      <c r="R80" s="1781"/>
      <c r="S80" s="1990"/>
      <c r="T80" s="1781"/>
      <c r="U80" s="1990"/>
      <c r="V80" s="1781"/>
      <c r="W80" s="1990"/>
      <c r="X80" s="1781"/>
      <c r="Y80" s="1990"/>
      <c r="Z80" s="1781"/>
      <c r="AA80" s="1991"/>
      <c r="AB80" s="1994"/>
      <c r="AC80" s="1797">
        <v>0.2</v>
      </c>
      <c r="AD80" s="2033"/>
      <c r="AE80" s="1994" t="s">
        <v>14</v>
      </c>
      <c r="AF80" s="1797">
        <v>0.2</v>
      </c>
      <c r="AG80" s="2477"/>
      <c r="AH80" s="2478"/>
      <c r="AI80" s="1436">
        <f t="shared" si="13"/>
        <v>0</v>
      </c>
      <c r="AJ80" s="2468"/>
      <c r="AK80" s="1472">
        <f>ROUND(IF(AF80=0,0,AI80/ABS(AF80)),3)</f>
        <v>0</v>
      </c>
    </row>
    <row r="81" spans="1:38" ht="15" customHeight="1">
      <c r="A81" s="2442"/>
      <c r="B81" s="2476" t="s">
        <v>1057</v>
      </c>
      <c r="C81" s="2476"/>
      <c r="D81" s="3876"/>
      <c r="E81" s="2475"/>
      <c r="F81" s="1781"/>
      <c r="G81" s="2475"/>
      <c r="H81" s="1781"/>
      <c r="I81" s="1436"/>
      <c r="J81" s="1781"/>
      <c r="K81" s="1987"/>
      <c r="L81" s="1781"/>
      <c r="M81" s="1987"/>
      <c r="N81" s="1781"/>
      <c r="O81" s="1987"/>
      <c r="P81" s="1781"/>
      <c r="Q81" s="1987"/>
      <c r="R81" s="1781"/>
      <c r="S81" s="1987"/>
      <c r="T81" s="1781"/>
      <c r="U81" s="1987"/>
      <c r="V81" s="1781"/>
      <c r="W81" s="1987"/>
      <c r="X81" s="1781"/>
      <c r="Y81" s="1987"/>
      <c r="Z81" s="1781"/>
      <c r="AA81" s="1983"/>
      <c r="AB81" s="2039"/>
      <c r="AC81" s="3144"/>
      <c r="AD81" s="1969"/>
      <c r="AE81" s="1994" t="s">
        <v>14</v>
      </c>
      <c r="AF81" s="3144"/>
      <c r="AG81" s="1999"/>
      <c r="AH81" s="2467"/>
      <c r="AI81" s="1436"/>
      <c r="AJ81" s="2468"/>
      <c r="AK81" s="1425"/>
    </row>
    <row r="82" spans="1:38" ht="15" customHeight="1">
      <c r="A82" s="2442"/>
      <c r="B82" s="2476" t="s">
        <v>955</v>
      </c>
      <c r="C82" s="2476"/>
      <c r="D82" s="3876">
        <f t="shared" si="11"/>
        <v>0.79999999999999993</v>
      </c>
      <c r="E82" s="2475"/>
      <c r="F82" s="1781"/>
      <c r="G82" s="2475"/>
      <c r="H82" s="1781"/>
      <c r="I82" s="1436"/>
      <c r="J82" s="1781"/>
      <c r="K82" s="1990"/>
      <c r="L82" s="1781"/>
      <c r="M82" s="1990"/>
      <c r="N82" s="1781"/>
      <c r="O82" s="1990"/>
      <c r="P82" s="1781"/>
      <c r="Q82" s="1990"/>
      <c r="R82" s="1781"/>
      <c r="S82" s="1990"/>
      <c r="T82" s="1781"/>
      <c r="U82" s="1990"/>
      <c r="V82" s="1781"/>
      <c r="W82" s="1990"/>
      <c r="X82" s="1781"/>
      <c r="Y82" s="1990"/>
      <c r="Z82" s="1781"/>
      <c r="AA82" s="1991"/>
      <c r="AB82" s="1994"/>
      <c r="AC82" s="1797">
        <v>0.79999999999999993</v>
      </c>
      <c r="AD82" s="2033"/>
      <c r="AE82" s="1994" t="s">
        <v>14</v>
      </c>
      <c r="AF82" s="1797">
        <v>0.4</v>
      </c>
      <c r="AG82" s="2477"/>
      <c r="AH82" s="2478"/>
      <c r="AI82" s="1436">
        <f t="shared" ref="AI82:AI91" si="14">ROUND(SUM(+AC82-AF82),1)</f>
        <v>0.4</v>
      </c>
      <c r="AJ82" s="2468"/>
      <c r="AK82" s="1431">
        <f t="shared" ref="AK82" si="15">ROUND(IF(AF82=0,1,AI82/ABS(AF82)),3)</f>
        <v>1</v>
      </c>
    </row>
    <row r="83" spans="1:38" ht="15" customHeight="1">
      <c r="A83" s="2442"/>
      <c r="B83" s="2476" t="s">
        <v>956</v>
      </c>
      <c r="C83" s="2476"/>
      <c r="D83" s="3876">
        <f t="shared" si="11"/>
        <v>0.4</v>
      </c>
      <c r="E83" s="2475"/>
      <c r="F83" s="1781"/>
      <c r="G83" s="2475"/>
      <c r="H83" s="1781"/>
      <c r="I83" s="1436"/>
      <c r="J83" s="1781"/>
      <c r="K83" s="1990"/>
      <c r="L83" s="1781"/>
      <c r="M83" s="1990"/>
      <c r="N83" s="1781"/>
      <c r="O83" s="1990"/>
      <c r="P83" s="1781"/>
      <c r="Q83" s="1990"/>
      <c r="R83" s="1781"/>
      <c r="S83" s="1990"/>
      <c r="T83" s="1781"/>
      <c r="U83" s="1990"/>
      <c r="V83" s="1781"/>
      <c r="W83" s="1990"/>
      <c r="X83" s="1781"/>
      <c r="Y83" s="1990"/>
      <c r="Z83" s="1781"/>
      <c r="AA83" s="1991"/>
      <c r="AB83" s="2040"/>
      <c r="AC83" s="1797">
        <v>0.4</v>
      </c>
      <c r="AD83" s="2033"/>
      <c r="AE83" s="1994" t="s">
        <v>14</v>
      </c>
      <c r="AF83" s="1797">
        <v>0.4</v>
      </c>
      <c r="AG83" s="2477"/>
      <c r="AH83" s="2478"/>
      <c r="AI83" s="1436">
        <f t="shared" ref="AI83" si="16">ROUND(SUM(+AC83-AF83),1)</f>
        <v>0</v>
      </c>
      <c r="AJ83" s="2468"/>
      <c r="AK83" s="1472">
        <f>ROUND(IF(AF83=0,1,AI83/ABS(AF83)),3)</f>
        <v>0</v>
      </c>
    </row>
    <row r="84" spans="1:38" ht="15" customHeight="1">
      <c r="A84" s="2442"/>
      <c r="B84" s="2476" t="s">
        <v>957</v>
      </c>
      <c r="C84" s="2476"/>
      <c r="D84" s="3876">
        <f t="shared" si="11"/>
        <v>0</v>
      </c>
      <c r="E84" s="2475"/>
      <c r="F84" s="1781"/>
      <c r="G84" s="2475"/>
      <c r="H84" s="1781"/>
      <c r="I84" s="1436"/>
      <c r="J84" s="1781"/>
      <c r="K84" s="1990"/>
      <c r="L84" s="1781"/>
      <c r="M84" s="1990"/>
      <c r="N84" s="1781"/>
      <c r="O84" s="1990"/>
      <c r="P84" s="1781"/>
      <c r="Q84" s="1990"/>
      <c r="R84" s="1781"/>
      <c r="S84" s="1990"/>
      <c r="T84" s="1781"/>
      <c r="U84" s="1990"/>
      <c r="V84" s="1781"/>
      <c r="W84" s="1990"/>
      <c r="X84" s="1781"/>
      <c r="Y84" s="1990"/>
      <c r="Z84" s="1781"/>
      <c r="AA84" s="1991"/>
      <c r="AB84" s="1994"/>
      <c r="AC84" s="1797">
        <v>0</v>
      </c>
      <c r="AD84" s="2033"/>
      <c r="AE84" s="1994" t="s">
        <v>14</v>
      </c>
      <c r="AF84" s="1797">
        <v>0</v>
      </c>
      <c r="AG84" s="2477"/>
      <c r="AH84" s="2478"/>
      <c r="AI84" s="1436">
        <f t="shared" si="14"/>
        <v>0</v>
      </c>
      <c r="AJ84" s="2468"/>
      <c r="AK84" s="1431">
        <f>ROUND(IF(AF84=0,0,AI84/ABS(AF84)),3)</f>
        <v>0</v>
      </c>
    </row>
    <row r="85" spans="1:38" ht="15" customHeight="1">
      <c r="A85" s="2442"/>
      <c r="B85" s="2476" t="s">
        <v>958</v>
      </c>
      <c r="C85" s="2476"/>
      <c r="D85" s="3876">
        <f t="shared" si="11"/>
        <v>4.9000000000000004</v>
      </c>
      <c r="E85" s="2475"/>
      <c r="F85" s="1781"/>
      <c r="G85" s="2475"/>
      <c r="H85" s="1781"/>
      <c r="I85" s="1436"/>
      <c r="J85" s="1781"/>
      <c r="K85" s="1990"/>
      <c r="L85" s="1781"/>
      <c r="M85" s="1990"/>
      <c r="N85" s="1781"/>
      <c r="O85" s="1990"/>
      <c r="P85" s="1781"/>
      <c r="Q85" s="1990"/>
      <c r="R85" s="1781"/>
      <c r="S85" s="1990"/>
      <c r="T85" s="1781"/>
      <c r="U85" s="1990"/>
      <c r="V85" s="1781"/>
      <c r="W85" s="1990"/>
      <c r="X85" s="1781"/>
      <c r="Y85" s="1990"/>
      <c r="Z85" s="1781"/>
      <c r="AA85" s="1991"/>
      <c r="AB85" s="1994"/>
      <c r="AC85" s="1797">
        <v>4.9000000000000004</v>
      </c>
      <c r="AD85" s="2033"/>
      <c r="AE85" s="1994" t="s">
        <v>14</v>
      </c>
      <c r="AF85" s="1797">
        <v>5.5</v>
      </c>
      <c r="AG85" s="2477"/>
      <c r="AH85" s="2478"/>
      <c r="AI85" s="1436">
        <f t="shared" si="14"/>
        <v>-0.6</v>
      </c>
      <c r="AJ85" s="2468"/>
      <c r="AK85" s="1431">
        <f>ROUND(IF(AF85=0,1,AI85/ABS(AF85)),3)</f>
        <v>-0.109</v>
      </c>
    </row>
    <row r="86" spans="1:38" ht="15" customHeight="1">
      <c r="A86" s="2442"/>
      <c r="B86" s="2476" t="s">
        <v>959</v>
      </c>
      <c r="C86" s="2476"/>
      <c r="D86" s="3876">
        <f t="shared" si="11"/>
        <v>38.299999999999997</v>
      </c>
      <c r="E86" s="2475"/>
      <c r="F86" s="1781"/>
      <c r="G86" s="2475"/>
      <c r="H86" s="1781"/>
      <c r="I86" s="1436"/>
      <c r="J86" s="1781"/>
      <c r="K86" s="1990"/>
      <c r="L86" s="1781"/>
      <c r="M86" s="1990"/>
      <c r="N86" s="1781"/>
      <c r="O86" s="1990"/>
      <c r="P86" s="1781"/>
      <c r="Q86" s="1990"/>
      <c r="R86" s="1781"/>
      <c r="S86" s="1990"/>
      <c r="T86" s="1781"/>
      <c r="U86" s="1990"/>
      <c r="V86" s="1781"/>
      <c r="W86" s="1990"/>
      <c r="X86" s="1781"/>
      <c r="Y86" s="1990"/>
      <c r="Z86" s="1781"/>
      <c r="AA86" s="1991"/>
      <c r="AB86" s="2040"/>
      <c r="AC86" s="1797">
        <v>38.299999999999997</v>
      </c>
      <c r="AD86" s="2033"/>
      <c r="AE86" s="2040" t="s">
        <v>14</v>
      </c>
      <c r="AF86" s="1797">
        <v>-3.7</v>
      </c>
      <c r="AG86" s="2477"/>
      <c r="AH86" s="2478"/>
      <c r="AI86" s="1436">
        <f>ROUND(SUM(+AC86-AF86),1)</f>
        <v>42</v>
      </c>
      <c r="AJ86" s="2468"/>
      <c r="AK86" s="1472">
        <f>ROUND(IF(AF86=0,1,AI86/ABS(AF86)),3)</f>
        <v>11.351000000000001</v>
      </c>
    </row>
    <row r="87" spans="1:38" ht="15" customHeight="1">
      <c r="A87" s="2442"/>
      <c r="B87" s="2476" t="s">
        <v>960</v>
      </c>
      <c r="C87" s="2476"/>
      <c r="D87" s="3876">
        <f t="shared" si="11"/>
        <v>0</v>
      </c>
      <c r="E87" s="2475"/>
      <c r="F87" s="1781"/>
      <c r="G87" s="2475"/>
      <c r="H87" s="1781"/>
      <c r="I87" s="1436"/>
      <c r="J87" s="1781"/>
      <c r="K87" s="1990"/>
      <c r="L87" s="1781"/>
      <c r="M87" s="1990"/>
      <c r="N87" s="1781"/>
      <c r="O87" s="1990"/>
      <c r="P87" s="1781"/>
      <c r="Q87" s="1990"/>
      <c r="R87" s="1781"/>
      <c r="S87" s="1990"/>
      <c r="T87" s="1781"/>
      <c r="U87" s="1990"/>
      <c r="V87" s="1781"/>
      <c r="W87" s="1990"/>
      <c r="X87" s="1781"/>
      <c r="Y87" s="1990"/>
      <c r="Z87" s="1781"/>
      <c r="AA87" s="1991"/>
      <c r="AB87" s="1994"/>
      <c r="AC87" s="1797">
        <v>0</v>
      </c>
      <c r="AD87" s="2033"/>
      <c r="AE87" s="1994" t="s">
        <v>14</v>
      </c>
      <c r="AF87" s="1797">
        <v>0</v>
      </c>
      <c r="AG87" s="2477"/>
      <c r="AH87" s="2478"/>
      <c r="AI87" s="1436">
        <f t="shared" si="14"/>
        <v>0</v>
      </c>
      <c r="AJ87" s="2468"/>
      <c r="AK87" s="1431">
        <f>ROUND(IF(AF87=0,0,AI87/ABS(AF87)),3)</f>
        <v>0</v>
      </c>
    </row>
    <row r="88" spans="1:38" ht="15" customHeight="1">
      <c r="A88" s="2442"/>
      <c r="B88" s="2476" t="s">
        <v>961</v>
      </c>
      <c r="C88" s="2476"/>
      <c r="D88" s="3876">
        <f t="shared" si="11"/>
        <v>0</v>
      </c>
      <c r="E88" s="2475"/>
      <c r="F88" s="1781"/>
      <c r="G88" s="2475"/>
      <c r="H88" s="1781"/>
      <c r="I88" s="1436"/>
      <c r="J88" s="1781"/>
      <c r="K88" s="1990"/>
      <c r="L88" s="1781"/>
      <c r="M88" s="1990"/>
      <c r="N88" s="1781"/>
      <c r="O88" s="1990"/>
      <c r="P88" s="1781"/>
      <c r="Q88" s="1990"/>
      <c r="R88" s="1781"/>
      <c r="S88" s="1990"/>
      <c r="T88" s="1781"/>
      <c r="U88" s="1990"/>
      <c r="V88" s="1781"/>
      <c r="W88" s="1990"/>
      <c r="X88" s="1781"/>
      <c r="Y88" s="1990"/>
      <c r="Z88" s="1781"/>
      <c r="AA88" s="1991"/>
      <c r="AB88" s="1994"/>
      <c r="AC88" s="1797">
        <v>0</v>
      </c>
      <c r="AD88" s="2033"/>
      <c r="AE88" s="1994" t="s">
        <v>14</v>
      </c>
      <c r="AF88" s="1797">
        <v>0.19999999999999998</v>
      </c>
      <c r="AG88" s="2477"/>
      <c r="AH88" s="2478"/>
      <c r="AI88" s="1436">
        <f t="shared" si="14"/>
        <v>-0.2</v>
      </c>
      <c r="AJ88" s="2468"/>
      <c r="AK88" s="1472">
        <f>ROUND(IF(AF88=0,1,AI88/ABS(AF88)),3)</f>
        <v>-1</v>
      </c>
    </row>
    <row r="89" spans="1:38" ht="15" customHeight="1">
      <c r="A89" s="2442"/>
      <c r="B89" s="2476" t="s">
        <v>962</v>
      </c>
      <c r="C89" s="2476"/>
      <c r="D89" s="3876">
        <f t="shared" si="11"/>
        <v>0</v>
      </c>
      <c r="E89" s="2475"/>
      <c r="F89" s="1781"/>
      <c r="G89" s="2475"/>
      <c r="H89" s="1781"/>
      <c r="I89" s="1436"/>
      <c r="J89" s="1781"/>
      <c r="K89" s="1990"/>
      <c r="L89" s="1781"/>
      <c r="M89" s="1990"/>
      <c r="N89" s="1781"/>
      <c r="O89" s="1990"/>
      <c r="P89" s="1781"/>
      <c r="Q89" s="1990"/>
      <c r="R89" s="1781"/>
      <c r="S89" s="1990"/>
      <c r="T89" s="1781"/>
      <c r="U89" s="1990"/>
      <c r="V89" s="1781"/>
      <c r="W89" s="1990"/>
      <c r="X89" s="1781"/>
      <c r="Y89" s="1990"/>
      <c r="Z89" s="1781"/>
      <c r="AA89" s="1991"/>
      <c r="AB89" s="1994"/>
      <c r="AC89" s="1797">
        <v>0</v>
      </c>
      <c r="AD89" s="2033"/>
      <c r="AE89" s="1994" t="s">
        <v>14</v>
      </c>
      <c r="AF89" s="1797">
        <v>0</v>
      </c>
      <c r="AG89" s="2477"/>
      <c r="AH89" s="2478"/>
      <c r="AI89" s="1436">
        <f t="shared" si="14"/>
        <v>0</v>
      </c>
      <c r="AJ89" s="2468"/>
      <c r="AK89" s="1431">
        <f>ROUND(IF(AF89=0,0,AI89/ABS(AF89)),3)</f>
        <v>0</v>
      </c>
    </row>
    <row r="90" spans="1:38" ht="15" customHeight="1">
      <c r="A90" s="2442"/>
      <c r="B90" s="2476" t="s">
        <v>963</v>
      </c>
      <c r="C90" s="2476"/>
      <c r="D90" s="3876">
        <f t="shared" si="11"/>
        <v>20.100000000000001</v>
      </c>
      <c r="E90" s="2475"/>
      <c r="F90" s="1781"/>
      <c r="G90" s="2475"/>
      <c r="H90" s="1781"/>
      <c r="I90" s="1436"/>
      <c r="J90" s="1781"/>
      <c r="K90" s="1990"/>
      <c r="L90" s="1781"/>
      <c r="M90" s="1990"/>
      <c r="N90" s="1781"/>
      <c r="O90" s="1990"/>
      <c r="P90" s="1781"/>
      <c r="Q90" s="1990"/>
      <c r="R90" s="1781"/>
      <c r="S90" s="1990"/>
      <c r="T90" s="1781"/>
      <c r="U90" s="1990"/>
      <c r="V90" s="1781"/>
      <c r="W90" s="1990"/>
      <c r="X90" s="1781"/>
      <c r="Y90" s="1990"/>
      <c r="Z90" s="1781"/>
      <c r="AA90" s="1991"/>
      <c r="AB90" s="1994"/>
      <c r="AC90" s="1781">
        <v>20.100000000000001</v>
      </c>
      <c r="AD90" s="2033"/>
      <c r="AE90" s="1994" t="s">
        <v>14</v>
      </c>
      <c r="AF90" s="1781">
        <v>4.8</v>
      </c>
      <c r="AG90" s="2033"/>
      <c r="AH90" s="2478"/>
      <c r="AI90" s="1436">
        <f t="shared" si="14"/>
        <v>15.3</v>
      </c>
      <c r="AJ90" s="2468"/>
      <c r="AK90" s="1472">
        <f>ROUND(IF(AF90=0,0,AI90/ABS(AF90)),3)</f>
        <v>3.1880000000000002</v>
      </c>
    </row>
    <row r="91" spans="1:38" ht="15" customHeight="1">
      <c r="A91" s="2442"/>
      <c r="B91" s="2476" t="s">
        <v>964</v>
      </c>
      <c r="C91" s="2476"/>
      <c r="D91" s="3876">
        <f t="shared" si="11"/>
        <v>0.1</v>
      </c>
      <c r="E91" s="2475"/>
      <c r="F91" s="1781"/>
      <c r="G91" s="2475"/>
      <c r="H91" s="1781"/>
      <c r="I91" s="1436"/>
      <c r="J91" s="1781"/>
      <c r="K91" s="1990"/>
      <c r="L91" s="1781"/>
      <c r="M91" s="1990"/>
      <c r="N91" s="1781"/>
      <c r="O91" s="1990"/>
      <c r="P91" s="1781"/>
      <c r="Q91" s="1990"/>
      <c r="R91" s="1781"/>
      <c r="S91" s="1990"/>
      <c r="T91" s="1781"/>
      <c r="U91" s="1990"/>
      <c r="V91" s="1781"/>
      <c r="W91" s="1990"/>
      <c r="X91" s="1781"/>
      <c r="Y91" s="1990"/>
      <c r="Z91" s="1781"/>
      <c r="AA91" s="1991"/>
      <c r="AB91" s="1994"/>
      <c r="AC91" s="1797">
        <v>0.1</v>
      </c>
      <c r="AD91" s="2033"/>
      <c r="AE91" s="1994" t="s">
        <v>14</v>
      </c>
      <c r="AF91" s="1797">
        <v>0</v>
      </c>
      <c r="AG91" s="2033"/>
      <c r="AH91" s="2478"/>
      <c r="AI91" s="1436">
        <f t="shared" si="14"/>
        <v>0.1</v>
      </c>
      <c r="AJ91" s="2468"/>
      <c r="AK91" s="2479">
        <f>ROUND(IF(AF91=0,1,AI91/ABS(AF91)),3)</f>
        <v>1</v>
      </c>
    </row>
    <row r="92" spans="1:38" s="2472" customFormat="1" ht="15" customHeight="1">
      <c r="A92" s="2470"/>
      <c r="B92" s="2464" t="s">
        <v>999</v>
      </c>
      <c r="C92" s="2419"/>
      <c r="D92" s="2466">
        <f>ROUND(SUM(D57:D91),1)</f>
        <v>172.5</v>
      </c>
      <c r="E92" s="2480"/>
      <c r="F92" s="2465">
        <f>ROUND(SUM(F57:F91),1)</f>
        <v>0</v>
      </c>
      <c r="G92" s="2480"/>
      <c r="H92" s="2465">
        <f>ROUND(SUM(H57:H91),1)</f>
        <v>0</v>
      </c>
      <c r="I92" s="1454"/>
      <c r="J92" s="2466">
        <f>ROUND(SUM(J57:J91),1)</f>
        <v>0</v>
      </c>
      <c r="K92" s="1454"/>
      <c r="L92" s="2466">
        <f>ROUND(SUM(L57:L91),1)</f>
        <v>0</v>
      </c>
      <c r="M92" s="1454"/>
      <c r="N92" s="2034">
        <f>ROUND(SUM(N57:N91),1)</f>
        <v>0</v>
      </c>
      <c r="O92" s="1454"/>
      <c r="P92" s="1453">
        <f>ROUND(SUM(P57:P91),1)</f>
        <v>0</v>
      </c>
      <c r="Q92" s="1454"/>
      <c r="R92" s="2034">
        <f>ROUND(SUM(R57:R91),1)</f>
        <v>0</v>
      </c>
      <c r="S92" s="1454"/>
      <c r="T92" s="2034">
        <f>ROUND(SUM(T57:T91),1)</f>
        <v>0</v>
      </c>
      <c r="U92" s="1454"/>
      <c r="V92" s="2034">
        <f>ROUND(SUM(V57:V91),1)</f>
        <v>0</v>
      </c>
      <c r="W92" s="1454"/>
      <c r="X92" s="2034">
        <f>ROUND(SUM(X57:X91),1)</f>
        <v>0</v>
      </c>
      <c r="Y92" s="1454"/>
      <c r="Z92" s="2034">
        <f>ROUND(SUM(Z57:Z91),1)</f>
        <v>0</v>
      </c>
      <c r="AA92" s="2002"/>
      <c r="AB92" s="2041"/>
      <c r="AC92" s="3141">
        <f>ROUND(SUM(AC57:AC91),1)</f>
        <v>172.5</v>
      </c>
      <c r="AD92" s="2042"/>
      <c r="AE92" s="3145" t="s">
        <v>14</v>
      </c>
      <c r="AF92" s="3470">
        <f>ROUND(SUM(AF57:AF91),1)</f>
        <v>37.299999999999997</v>
      </c>
      <c r="AG92" s="1454"/>
      <c r="AH92" s="2471"/>
      <c r="AI92" s="2034">
        <f>ROUND(SUM(AI57:AI91),1)</f>
        <v>135.19999999999999</v>
      </c>
      <c r="AJ92" s="1437"/>
      <c r="AK92" s="1438">
        <f>ROUND(SUM(+AI92/AF92),3)</f>
        <v>3.625</v>
      </c>
      <c r="AL92" s="2408"/>
    </row>
    <row r="93" spans="1:38" s="2472" customFormat="1" ht="8.25" customHeight="1">
      <c r="A93" s="2470"/>
      <c r="B93" s="2418"/>
      <c r="C93" s="2419"/>
      <c r="D93" s="1454"/>
      <c r="E93" s="2480"/>
      <c r="F93" s="1454"/>
      <c r="G93" s="2480"/>
      <c r="H93" s="1454"/>
      <c r="I93" s="1454"/>
      <c r="J93" s="2042"/>
      <c r="K93" s="1454"/>
      <c r="L93" s="1454"/>
      <c r="M93" s="1454"/>
      <c r="N93" s="1454"/>
      <c r="O93" s="1454"/>
      <c r="P93" s="2042"/>
      <c r="Q93" s="1454"/>
      <c r="R93" s="1454"/>
      <c r="S93" s="1454"/>
      <c r="T93" s="1454"/>
      <c r="U93" s="1454"/>
      <c r="V93" s="1454"/>
      <c r="W93" s="1454"/>
      <c r="X93" s="1454"/>
      <c r="Y93" s="1454"/>
      <c r="Z93" s="1454"/>
      <c r="AA93" s="2002"/>
      <c r="AB93" s="2041"/>
      <c r="AC93" s="2042"/>
      <c r="AD93" s="2042"/>
      <c r="AE93" s="3145"/>
      <c r="AF93" s="2042"/>
      <c r="AG93" s="1454"/>
      <c r="AH93" s="2471"/>
      <c r="AI93" s="1454"/>
      <c r="AJ93" s="1437"/>
      <c r="AK93" s="2481"/>
      <c r="AL93" s="2408"/>
    </row>
    <row r="94" spans="1:38" ht="15" customHeight="1">
      <c r="A94" s="2442"/>
      <c r="B94" s="2460" t="s">
        <v>1146</v>
      </c>
      <c r="C94" s="2014"/>
      <c r="D94" s="3876">
        <f t="shared" ref="D94" si="17">$AC94</f>
        <v>0.2</v>
      </c>
      <c r="E94" s="1436"/>
      <c r="F94" s="1781"/>
      <c r="G94" s="1436"/>
      <c r="H94" s="1781"/>
      <c r="I94" s="1436"/>
      <c r="J94" s="1781"/>
      <c r="K94" s="1990"/>
      <c r="L94" s="1781"/>
      <c r="M94" s="1990"/>
      <c r="N94" s="1781"/>
      <c r="O94" s="1990"/>
      <c r="P94" s="1781"/>
      <c r="Q94" s="1990"/>
      <c r="R94" s="1781"/>
      <c r="S94" s="1990"/>
      <c r="T94" s="1781"/>
      <c r="U94" s="1990"/>
      <c r="V94" s="1781"/>
      <c r="W94" s="1990"/>
      <c r="X94" s="1781"/>
      <c r="Y94" s="1990"/>
      <c r="Z94" s="1781"/>
      <c r="AA94" s="1991"/>
      <c r="AB94" s="1994"/>
      <c r="AC94" s="1797">
        <v>0.2</v>
      </c>
      <c r="AD94" s="2033"/>
      <c r="AE94" s="1994" t="s">
        <v>14</v>
      </c>
      <c r="AF94" s="1797">
        <v>0</v>
      </c>
      <c r="AG94" s="1999"/>
      <c r="AH94" s="2467"/>
      <c r="AI94" s="2482">
        <f>ROUND(SUM(+AC94-AF94),1)</f>
        <v>0.2</v>
      </c>
      <c r="AJ94" s="2468"/>
      <c r="AK94" s="3899">
        <f>ROUND(IF(AF94=0,1,AI94/ABS(AF94)),3)</f>
        <v>1</v>
      </c>
    </row>
    <row r="95" spans="1:38" ht="4.4000000000000004" customHeight="1">
      <c r="A95" s="2442"/>
      <c r="B95" s="2036"/>
      <c r="C95" s="2014"/>
      <c r="D95" s="2483"/>
      <c r="E95" s="1436"/>
      <c r="F95" s="2483"/>
      <c r="G95" s="1436"/>
      <c r="H95" s="2483"/>
      <c r="I95" s="1436"/>
      <c r="J95" s="2484"/>
      <c r="K95" s="1998"/>
      <c r="L95" s="1997"/>
      <c r="M95" s="1998"/>
      <c r="N95" s="1997"/>
      <c r="O95" s="1998"/>
      <c r="P95" s="3565"/>
      <c r="Q95" s="1998"/>
      <c r="R95" s="1997"/>
      <c r="S95" s="1998"/>
      <c r="T95" s="1997"/>
      <c r="U95" s="1998"/>
      <c r="V95" s="1997"/>
      <c r="W95" s="1998"/>
      <c r="X95" s="1997">
        <f t="shared" ref="X95" si="18">$AC95-$D95-$F95-$H95-$J95-$L95-$N95-$P95-$R95-$T95-$V95</f>
        <v>0</v>
      </c>
      <c r="Y95" s="1998"/>
      <c r="Z95" s="1997"/>
      <c r="AA95" s="2013"/>
      <c r="AB95" s="2038"/>
      <c r="AC95" s="3146"/>
      <c r="AD95" s="1987"/>
      <c r="AE95" s="1994" t="s">
        <v>14</v>
      </c>
      <c r="AF95" s="2043"/>
      <c r="AG95" s="1999"/>
      <c r="AH95" s="2467"/>
      <c r="AI95" s="1436"/>
      <c r="AJ95" s="2468"/>
      <c r="AK95" s="1425"/>
    </row>
    <row r="96" spans="1:38" ht="15" customHeight="1">
      <c r="A96" s="2442"/>
      <c r="B96" s="2418" t="s">
        <v>149</v>
      </c>
      <c r="C96" s="2014"/>
      <c r="D96" s="2012">
        <f>ROUND(SUM(D94+D92+D53),1)</f>
        <v>4637.5</v>
      </c>
      <c r="E96" s="1454"/>
      <c r="F96" s="2012">
        <f>ROUND(SUM(F94+F92+F53),1)</f>
        <v>0</v>
      </c>
      <c r="G96" s="1454"/>
      <c r="H96" s="2012">
        <f>ROUND(SUM(H94+H92+H53),1)</f>
        <v>0</v>
      </c>
      <c r="I96" s="1454"/>
      <c r="J96" s="1552">
        <f>ROUND(SUM(J94+J92+J53),1)</f>
        <v>0</v>
      </c>
      <c r="K96" s="1454"/>
      <c r="L96" s="1552">
        <f>ROUND(SUM(L94+L92+L53),1)</f>
        <v>0</v>
      </c>
      <c r="M96" s="1454"/>
      <c r="N96" s="1454">
        <f>ROUND(SUM(N94+N92+N53),1)</f>
        <v>0</v>
      </c>
      <c r="O96" s="1454"/>
      <c r="P96" s="2046">
        <f>ROUND(SUM(P94+P92+P53),1)</f>
        <v>0</v>
      </c>
      <c r="Q96" s="1454"/>
      <c r="R96" s="2044">
        <f>ROUND(SUM(R94+R92+R53),1)</f>
        <v>0</v>
      </c>
      <c r="S96" s="1454"/>
      <c r="T96" s="2044">
        <f>ROUND(SUM(T94+T92+T53),1)</f>
        <v>0</v>
      </c>
      <c r="U96" s="1454"/>
      <c r="V96" s="2044">
        <f>ROUND(SUM(V94+V92+V53),1)</f>
        <v>0</v>
      </c>
      <c r="W96" s="1454"/>
      <c r="X96" s="2044">
        <f>ROUND(SUM(X94+X92+X53),1)</f>
        <v>0</v>
      </c>
      <c r="Y96" s="1454"/>
      <c r="Z96" s="2044">
        <f>ROUND(SUM(Z94+Z92+Z53),1)</f>
        <v>0</v>
      </c>
      <c r="AA96" s="2045"/>
      <c r="AB96" s="2041"/>
      <c r="AC96" s="2046">
        <f>ROUND(SUM(AC94+AC92+AC53),1)</f>
        <v>4637.5</v>
      </c>
      <c r="AD96" s="2042"/>
      <c r="AE96" s="3145"/>
      <c r="AF96" s="2046">
        <f>ROUND(SUM(AF94+AF92+AF53),1)</f>
        <v>1882.6</v>
      </c>
      <c r="AG96" s="1437"/>
      <c r="AH96" s="2471"/>
      <c r="AI96" s="2044">
        <f>ROUND(SUM(AI94+AI92+AI53),1)</f>
        <v>2754.9</v>
      </c>
      <c r="AJ96" s="1437"/>
      <c r="AK96" s="1428">
        <f>ROUND(SUM(+AI96/AF96),3)</f>
        <v>1.4630000000000001</v>
      </c>
    </row>
    <row r="97" spans="1:39" ht="15" customHeight="1">
      <c r="A97" s="2442"/>
      <c r="B97" s="2036"/>
      <c r="C97" s="2014"/>
      <c r="D97" s="2468"/>
      <c r="E97" s="1436"/>
      <c r="F97" s="2468"/>
      <c r="G97" s="1436"/>
      <c r="H97" s="2468"/>
      <c r="I97" s="1436"/>
      <c r="J97" s="2033"/>
      <c r="K97" s="1998"/>
      <c r="L97" s="1997"/>
      <c r="M97" s="1998"/>
      <c r="N97" s="1997"/>
      <c r="O97" s="1998"/>
      <c r="P97" s="1969"/>
      <c r="Q97" s="1998"/>
      <c r="R97" s="1999"/>
      <c r="S97" s="1998"/>
      <c r="T97" s="1999"/>
      <c r="U97" s="1998"/>
      <c r="V97" s="1999"/>
      <c r="W97" s="1998"/>
      <c r="X97" s="1999"/>
      <c r="Y97" s="1998"/>
      <c r="Z97" s="1999"/>
      <c r="AA97" s="2005"/>
      <c r="AB97" s="2038"/>
      <c r="AC97" s="2033"/>
      <c r="AD97" s="1987"/>
      <c r="AE97" s="1989"/>
      <c r="AF97" s="1969"/>
      <c r="AG97" s="1999"/>
      <c r="AH97" s="2467"/>
      <c r="AI97" s="1436"/>
      <c r="AJ97" s="2468"/>
      <c r="AK97" s="1425"/>
    </row>
    <row r="98" spans="1:39" ht="15" customHeight="1">
      <c r="A98" s="2442"/>
      <c r="B98" s="2418" t="s">
        <v>22</v>
      </c>
      <c r="C98" s="2014"/>
      <c r="D98" s="1436"/>
      <c r="E98" s="1436"/>
      <c r="F98" s="1436"/>
      <c r="G98" s="1436"/>
      <c r="H98" s="1436"/>
      <c r="I98" s="1436"/>
      <c r="J98" s="1992"/>
      <c r="K98" s="1998"/>
      <c r="L98" s="1998"/>
      <c r="M98" s="1998"/>
      <c r="N98" s="1998"/>
      <c r="O98" s="1998"/>
      <c r="P98" s="1987"/>
      <c r="Q98" s="1998"/>
      <c r="R98" s="1998"/>
      <c r="S98" s="1998"/>
      <c r="T98" s="1998"/>
      <c r="U98" s="1998"/>
      <c r="V98" s="1998"/>
      <c r="W98" s="1998"/>
      <c r="X98" s="1998"/>
      <c r="Y98" s="1998"/>
      <c r="Z98" s="1998"/>
      <c r="AA98" s="1456"/>
      <c r="AB98" s="2038"/>
      <c r="AC98" s="1992"/>
      <c r="AD98" s="1987"/>
      <c r="AE98" s="1989"/>
      <c r="AF98" s="1987"/>
      <c r="AG98" s="1998"/>
      <c r="AH98" s="2467"/>
      <c r="AI98" s="1436"/>
      <c r="AJ98" s="2468"/>
      <c r="AK98" s="1425"/>
    </row>
    <row r="99" spans="1:39" ht="15" customHeight="1">
      <c r="A99" s="2442"/>
      <c r="B99" s="2036" t="s">
        <v>150</v>
      </c>
      <c r="C99" s="2014"/>
      <c r="D99" s="2468"/>
      <c r="E99" s="2468"/>
      <c r="F99" s="2468"/>
      <c r="G99" s="2468"/>
      <c r="H99" s="2468"/>
      <c r="I99" s="2468"/>
      <c r="J99" s="2033"/>
      <c r="K99" s="1999"/>
      <c r="L99" s="1999"/>
      <c r="M99" s="1999"/>
      <c r="N99" s="1999"/>
      <c r="O99" s="1999"/>
      <c r="P99" s="1969"/>
      <c r="Q99" s="1999"/>
      <c r="R99" s="1999"/>
      <c r="S99" s="1999"/>
      <c r="T99" s="1999"/>
      <c r="U99" s="1999"/>
      <c r="V99" s="1999"/>
      <c r="W99" s="1999"/>
      <c r="X99" s="1999"/>
      <c r="Y99" s="1999"/>
      <c r="Z99" s="1781"/>
      <c r="AA99" s="1456"/>
      <c r="AB99" s="2038"/>
      <c r="AC99" s="3147"/>
      <c r="AD99" s="1987"/>
      <c r="AE99" s="1989"/>
      <c r="AF99" s="3471"/>
      <c r="AG99" s="2485"/>
      <c r="AH99" s="2467"/>
      <c r="AI99" s="1436"/>
      <c r="AJ99" s="2468"/>
      <c r="AK99" s="1425"/>
    </row>
    <row r="100" spans="1:39" ht="15" customHeight="1">
      <c r="A100" s="2442"/>
      <c r="B100" s="2451" t="s">
        <v>24</v>
      </c>
      <c r="C100" s="2014"/>
      <c r="D100" s="3876">
        <f t="shared" ref="D100:D109" si="19">$AC100</f>
        <v>523.4</v>
      </c>
      <c r="E100" s="2468"/>
      <c r="F100" s="1781"/>
      <c r="G100" s="2468"/>
      <c r="H100" s="1781"/>
      <c r="I100" s="2468"/>
      <c r="J100" s="1781"/>
      <c r="K100" s="1990"/>
      <c r="L100" s="1781"/>
      <c r="M100" s="1990"/>
      <c r="N100" s="1781"/>
      <c r="O100" s="1990"/>
      <c r="P100" s="1781"/>
      <c r="Q100" s="1990"/>
      <c r="R100" s="1781"/>
      <c r="S100" s="1990"/>
      <c r="T100" s="1781"/>
      <c r="U100" s="1990"/>
      <c r="V100" s="1781"/>
      <c r="W100" s="1990"/>
      <c r="X100" s="1781"/>
      <c r="Y100" s="1990"/>
      <c r="Z100" s="1781"/>
      <c r="AA100" s="1991"/>
      <c r="AB100" s="1994"/>
      <c r="AC100" s="1797">
        <v>523.4</v>
      </c>
      <c r="AD100" s="2033"/>
      <c r="AE100" s="1994" t="s">
        <v>14</v>
      </c>
      <c r="AF100" s="1797">
        <v>754.2</v>
      </c>
      <c r="AG100" s="2485"/>
      <c r="AH100" s="2467"/>
      <c r="AI100" s="1436">
        <f>ROUND(SUM(+AC100-AF100),1)</f>
        <v>-230.8</v>
      </c>
      <c r="AJ100" s="2468"/>
      <c r="AK100" s="1431">
        <f>ROUND(IF(AF100=0,0,AI100/ABS(AF100)),3)</f>
        <v>-0.30599999999999999</v>
      </c>
    </row>
    <row r="101" spans="1:39" ht="15" customHeight="1">
      <c r="A101" s="2442"/>
      <c r="B101" s="2451" t="s">
        <v>25</v>
      </c>
      <c r="C101" s="2014"/>
      <c r="D101" s="3876">
        <f t="shared" si="19"/>
        <v>0</v>
      </c>
      <c r="E101" s="1436"/>
      <c r="F101" s="1781"/>
      <c r="G101" s="1436"/>
      <c r="H101" s="1781"/>
      <c r="I101" s="1436"/>
      <c r="J101" s="1781"/>
      <c r="K101" s="1990"/>
      <c r="L101" s="1781"/>
      <c r="M101" s="1990"/>
      <c r="N101" s="1781"/>
      <c r="O101" s="1990"/>
      <c r="P101" s="1781"/>
      <c r="Q101" s="1990"/>
      <c r="R101" s="1781"/>
      <c r="S101" s="1990"/>
      <c r="T101" s="1781"/>
      <c r="U101" s="1990"/>
      <c r="V101" s="1781"/>
      <c r="W101" s="1990"/>
      <c r="X101" s="1781"/>
      <c r="Y101" s="1990"/>
      <c r="Z101" s="1781"/>
      <c r="AA101" s="1991"/>
      <c r="AB101" s="1994"/>
      <c r="AC101" s="1797">
        <v>0</v>
      </c>
      <c r="AD101" s="2033"/>
      <c r="AE101" s="1994" t="s">
        <v>14</v>
      </c>
      <c r="AF101" s="1797">
        <v>0.1</v>
      </c>
      <c r="AG101" s="1998"/>
      <c r="AH101" s="2467"/>
      <c r="AI101" s="1436">
        <f t="shared" ref="AI101:AI109" si="20">ROUND(SUM(+AC101-AF101),1)</f>
        <v>-0.1</v>
      </c>
      <c r="AJ101" s="2468"/>
      <c r="AK101" s="1431">
        <f>ROUND(IF(AF101=0,1,AI101/ABS(AF101)),3)</f>
        <v>-1</v>
      </c>
    </row>
    <row r="102" spans="1:39" ht="15" customHeight="1">
      <c r="A102" s="2442"/>
      <c r="B102" s="2451" t="s">
        <v>26</v>
      </c>
      <c r="C102" s="2014"/>
      <c r="D102" s="3876">
        <f t="shared" si="19"/>
        <v>2.9</v>
      </c>
      <c r="E102" s="1436"/>
      <c r="F102" s="1781"/>
      <c r="G102" s="1436"/>
      <c r="H102" s="1781"/>
      <c r="I102" s="1436"/>
      <c r="J102" s="1781"/>
      <c r="K102" s="1990"/>
      <c r="L102" s="1781"/>
      <c r="M102" s="1990"/>
      <c r="N102" s="1781"/>
      <c r="O102" s="1990"/>
      <c r="P102" s="1781"/>
      <c r="Q102" s="1990"/>
      <c r="R102" s="1781"/>
      <c r="S102" s="1990"/>
      <c r="T102" s="1781"/>
      <c r="U102" s="1990"/>
      <c r="V102" s="1781"/>
      <c r="W102" s="1990"/>
      <c r="X102" s="1781"/>
      <c r="Y102" s="1990"/>
      <c r="Z102" s="1781"/>
      <c r="AA102" s="1991"/>
      <c r="AB102" s="1994"/>
      <c r="AC102" s="1797">
        <v>2.9</v>
      </c>
      <c r="AD102" s="2033"/>
      <c r="AE102" s="1994" t="s">
        <v>14</v>
      </c>
      <c r="AF102" s="1797">
        <v>6.8</v>
      </c>
      <c r="AG102" s="1998"/>
      <c r="AH102" s="2467"/>
      <c r="AI102" s="1436">
        <f t="shared" si="20"/>
        <v>-3.9</v>
      </c>
      <c r="AJ102" s="2468"/>
      <c r="AK102" s="1431">
        <f>ROUND(IF(AF102=0,0,AI102/ABS(AF102)),3)</f>
        <v>-0.57399999999999995</v>
      </c>
    </row>
    <row r="103" spans="1:39" ht="15" customHeight="1">
      <c r="A103" s="2442"/>
      <c r="B103" s="2451" t="s">
        <v>27</v>
      </c>
      <c r="C103" s="2014"/>
      <c r="D103" s="3876"/>
      <c r="E103" s="1436"/>
      <c r="F103" s="1781"/>
      <c r="G103" s="1436"/>
      <c r="H103" s="1781"/>
      <c r="I103" s="1436"/>
      <c r="J103" s="1781"/>
      <c r="K103" s="1990"/>
      <c r="L103" s="1781"/>
      <c r="M103" s="1990"/>
      <c r="N103" s="1781"/>
      <c r="O103" s="1990"/>
      <c r="P103" s="1781"/>
      <c r="Q103" s="1990"/>
      <c r="R103" s="1781"/>
      <c r="S103" s="1990"/>
      <c r="T103" s="1781"/>
      <c r="U103" s="1990"/>
      <c r="V103" s="1781"/>
      <c r="W103" s="1990"/>
      <c r="X103" s="1781"/>
      <c r="Y103" s="1990"/>
      <c r="Z103" s="1781"/>
      <c r="AA103" s="1991"/>
      <c r="AB103" s="1994"/>
      <c r="AC103" s="1797"/>
      <c r="AD103" s="2033"/>
      <c r="AE103" s="1994" t="s">
        <v>14</v>
      </c>
      <c r="AF103" s="1797"/>
      <c r="AG103" s="1998"/>
      <c r="AH103" s="2467"/>
      <c r="AI103" s="1436" t="s">
        <v>14</v>
      </c>
      <c r="AJ103" s="2468"/>
      <c r="AK103" s="1425" t="s">
        <v>14</v>
      </c>
    </row>
    <row r="104" spans="1:39" ht="15" customHeight="1">
      <c r="A104" s="2442"/>
      <c r="B104" s="2486" t="s">
        <v>28</v>
      </c>
      <c r="C104" s="2014"/>
      <c r="D104" s="3876">
        <f t="shared" si="19"/>
        <v>2741</v>
      </c>
      <c r="E104" s="1436"/>
      <c r="F104" s="1781"/>
      <c r="G104" s="1436"/>
      <c r="H104" s="1781"/>
      <c r="I104" s="1436"/>
      <c r="J104" s="1781"/>
      <c r="K104" s="1990"/>
      <c r="L104" s="1781"/>
      <c r="M104" s="1990"/>
      <c r="N104" s="1781"/>
      <c r="O104" s="1990"/>
      <c r="P104" s="1781"/>
      <c r="Q104" s="1990"/>
      <c r="R104" s="1781"/>
      <c r="S104" s="1990"/>
      <c r="T104" s="1781"/>
      <c r="U104" s="1990"/>
      <c r="V104" s="1781"/>
      <c r="W104" s="1990"/>
      <c r="X104" s="1781"/>
      <c r="Y104" s="1990"/>
      <c r="Z104" s="1781"/>
      <c r="AA104" s="1991"/>
      <c r="AB104" s="1994"/>
      <c r="AC104" s="1797">
        <v>2741</v>
      </c>
      <c r="AD104" s="2033"/>
      <c r="AE104" s="1994" t="s">
        <v>14</v>
      </c>
      <c r="AF104" s="1797">
        <v>229.4</v>
      </c>
      <c r="AG104" s="1998"/>
      <c r="AH104" s="2467"/>
      <c r="AI104" s="1436">
        <f t="shared" si="20"/>
        <v>2511.6</v>
      </c>
      <c r="AJ104" s="2468"/>
      <c r="AK104" s="1472">
        <f t="shared" ref="AK104:AK108" si="21">ROUND(IF(AF104=0,0,AI104/ABS(AF104)),3)</f>
        <v>10.949</v>
      </c>
    </row>
    <row r="105" spans="1:39" ht="15" customHeight="1">
      <c r="A105" s="2442"/>
      <c r="B105" s="2451" t="s">
        <v>29</v>
      </c>
      <c r="C105" s="2014"/>
      <c r="D105" s="3876">
        <f t="shared" si="19"/>
        <v>47.9</v>
      </c>
      <c r="E105" s="1436"/>
      <c r="F105" s="1781"/>
      <c r="G105" s="1436"/>
      <c r="H105" s="1781"/>
      <c r="I105" s="1436"/>
      <c r="J105" s="1781"/>
      <c r="K105" s="1990"/>
      <c r="L105" s="1781"/>
      <c r="M105" s="1990"/>
      <c r="N105" s="1781"/>
      <c r="O105" s="1990"/>
      <c r="P105" s="1781"/>
      <c r="Q105" s="1990"/>
      <c r="R105" s="1781"/>
      <c r="S105" s="1990"/>
      <c r="T105" s="1781"/>
      <c r="U105" s="1990"/>
      <c r="V105" s="1781"/>
      <c r="W105" s="1990"/>
      <c r="X105" s="1781"/>
      <c r="Y105" s="1990"/>
      <c r="Z105" s="1781"/>
      <c r="AA105" s="1991"/>
      <c r="AB105" s="1994"/>
      <c r="AC105" s="1797">
        <v>47.9</v>
      </c>
      <c r="AD105" s="2033"/>
      <c r="AE105" s="1994" t="s">
        <v>14</v>
      </c>
      <c r="AF105" s="1797">
        <v>63.9</v>
      </c>
      <c r="AG105" s="1998"/>
      <c r="AH105" s="2467"/>
      <c r="AI105" s="1436">
        <f t="shared" si="20"/>
        <v>-16</v>
      </c>
      <c r="AJ105" s="2468"/>
      <c r="AK105" s="1431">
        <f t="shared" si="21"/>
        <v>-0.25</v>
      </c>
    </row>
    <row r="106" spans="1:39" ht="15" customHeight="1">
      <c r="A106" s="2442"/>
      <c r="B106" s="2451" t="s">
        <v>30</v>
      </c>
      <c r="C106" s="2014"/>
      <c r="D106" s="3876">
        <f t="shared" si="19"/>
        <v>4.5</v>
      </c>
      <c r="E106" s="1436"/>
      <c r="F106" s="1781"/>
      <c r="G106" s="1436"/>
      <c r="H106" s="1781"/>
      <c r="I106" s="1436"/>
      <c r="J106" s="1781"/>
      <c r="K106" s="1990"/>
      <c r="L106" s="1781"/>
      <c r="M106" s="1990"/>
      <c r="N106" s="1781"/>
      <c r="O106" s="1990"/>
      <c r="P106" s="1781"/>
      <c r="Q106" s="1990"/>
      <c r="R106" s="1781"/>
      <c r="S106" s="1990"/>
      <c r="T106" s="1781"/>
      <c r="U106" s="1990"/>
      <c r="V106" s="1781"/>
      <c r="W106" s="1990"/>
      <c r="X106" s="1781"/>
      <c r="Y106" s="1990"/>
      <c r="Z106" s="1781"/>
      <c r="AA106" s="1991"/>
      <c r="AB106" s="1994"/>
      <c r="AC106" s="1797">
        <v>4.5</v>
      </c>
      <c r="AD106" s="2033"/>
      <c r="AE106" s="1994" t="s">
        <v>14</v>
      </c>
      <c r="AF106" s="1797">
        <v>2.9</v>
      </c>
      <c r="AG106" s="1998"/>
      <c r="AH106" s="2467" t="s">
        <v>14</v>
      </c>
      <c r="AI106" s="1436">
        <f t="shared" si="20"/>
        <v>1.6</v>
      </c>
      <c r="AJ106" s="2468"/>
      <c r="AK106" s="1431">
        <f t="shared" si="21"/>
        <v>0.55200000000000005</v>
      </c>
    </row>
    <row r="107" spans="1:39" ht="15" customHeight="1">
      <c r="A107" s="2442"/>
      <c r="B107" s="2451" t="s">
        <v>31</v>
      </c>
      <c r="C107" s="2014"/>
      <c r="D107" s="3876">
        <f t="shared" si="19"/>
        <v>43.3</v>
      </c>
      <c r="E107" s="1436"/>
      <c r="F107" s="1781"/>
      <c r="G107" s="1436"/>
      <c r="H107" s="1781"/>
      <c r="I107" s="1436"/>
      <c r="J107" s="1781"/>
      <c r="K107" s="1990"/>
      <c r="L107" s="1781"/>
      <c r="M107" s="1990"/>
      <c r="N107" s="1781"/>
      <c r="O107" s="1990"/>
      <c r="P107" s="1781"/>
      <c r="Q107" s="1990"/>
      <c r="R107" s="1781"/>
      <c r="S107" s="1990"/>
      <c r="T107" s="1781"/>
      <c r="U107" s="1990"/>
      <c r="V107" s="1781"/>
      <c r="W107" s="1990"/>
      <c r="X107" s="1781"/>
      <c r="Y107" s="1990"/>
      <c r="Z107" s="1781"/>
      <c r="AA107" s="1991"/>
      <c r="AB107" s="1994"/>
      <c r="AC107" s="1797">
        <v>43.3</v>
      </c>
      <c r="AD107" s="2033"/>
      <c r="AE107" s="1994" t="s">
        <v>14</v>
      </c>
      <c r="AF107" s="1797">
        <v>76.900000000000006</v>
      </c>
      <c r="AG107" s="1998"/>
      <c r="AH107" s="2467"/>
      <c r="AI107" s="1436">
        <f t="shared" si="20"/>
        <v>-33.6</v>
      </c>
      <c r="AJ107" s="2468"/>
      <c r="AK107" s="1431">
        <f t="shared" si="21"/>
        <v>-0.437</v>
      </c>
      <c r="AM107" s="3858"/>
    </row>
    <row r="108" spans="1:39" ht="15" customHeight="1">
      <c r="A108" s="2442"/>
      <c r="B108" s="2451" t="s">
        <v>32</v>
      </c>
      <c r="C108" s="2014"/>
      <c r="D108" s="3876">
        <f t="shared" si="19"/>
        <v>5</v>
      </c>
      <c r="E108" s="1436"/>
      <c r="F108" s="1781"/>
      <c r="G108" s="1436"/>
      <c r="H108" s="1781"/>
      <c r="I108" s="1436"/>
      <c r="J108" s="1781"/>
      <c r="K108" s="1990"/>
      <c r="L108" s="1781"/>
      <c r="M108" s="1990"/>
      <c r="N108" s="1781"/>
      <c r="O108" s="1990"/>
      <c r="P108" s="1781"/>
      <c r="Q108" s="1990"/>
      <c r="R108" s="1781"/>
      <c r="S108" s="1990"/>
      <c r="T108" s="1781"/>
      <c r="U108" s="1990"/>
      <c r="V108" s="1781"/>
      <c r="W108" s="1990"/>
      <c r="X108" s="1781"/>
      <c r="Y108" s="1990"/>
      <c r="Z108" s="1781"/>
      <c r="AA108" s="1991"/>
      <c r="AB108" s="1994"/>
      <c r="AC108" s="1797">
        <v>5</v>
      </c>
      <c r="AD108" s="2033"/>
      <c r="AE108" s="1994" t="s">
        <v>14</v>
      </c>
      <c r="AF108" s="1797">
        <v>4.6000000000000005</v>
      </c>
      <c r="AG108" s="1998"/>
      <c r="AH108" s="2467"/>
      <c r="AI108" s="1436">
        <f t="shared" si="20"/>
        <v>0.4</v>
      </c>
      <c r="AJ108" s="2468"/>
      <c r="AK108" s="1431">
        <f t="shared" si="21"/>
        <v>8.6999999999999994E-2</v>
      </c>
    </row>
    <row r="109" spans="1:39" ht="15" customHeight="1">
      <c r="A109" s="2442"/>
      <c r="B109" s="2451" t="s">
        <v>33</v>
      </c>
      <c r="C109" s="2014"/>
      <c r="D109" s="3876">
        <f t="shared" si="19"/>
        <v>9.5</v>
      </c>
      <c r="E109" s="1436"/>
      <c r="F109" s="1781"/>
      <c r="G109" s="1436"/>
      <c r="H109" s="1781"/>
      <c r="I109" s="1436"/>
      <c r="J109" s="1781"/>
      <c r="K109" s="1990"/>
      <c r="L109" s="1781"/>
      <c r="M109" s="1990"/>
      <c r="N109" s="1781"/>
      <c r="O109" s="1990"/>
      <c r="P109" s="1781"/>
      <c r="Q109" s="1990"/>
      <c r="R109" s="1781"/>
      <c r="S109" s="1990"/>
      <c r="T109" s="1781"/>
      <c r="U109" s="1990"/>
      <c r="V109" s="1781"/>
      <c r="W109" s="1990"/>
      <c r="X109" s="1781"/>
      <c r="Y109" s="1990"/>
      <c r="Z109" s="1781"/>
      <c r="AA109" s="1991"/>
      <c r="AB109" s="1994"/>
      <c r="AC109" s="1797">
        <v>9.5</v>
      </c>
      <c r="AD109" s="2033"/>
      <c r="AE109" s="1994" t="s">
        <v>14</v>
      </c>
      <c r="AF109" s="1797">
        <v>0.1</v>
      </c>
      <c r="AG109" s="2030"/>
      <c r="AH109" s="2487"/>
      <c r="AI109" s="1436">
        <f t="shared" si="20"/>
        <v>9.4</v>
      </c>
      <c r="AJ109" s="2488"/>
      <c r="AK109" s="1472">
        <f>ROUND(IF(AF109=0,1,AI109/ABS(AF109)),3)</f>
        <v>94</v>
      </c>
    </row>
    <row r="110" spans="1:39" ht="15" customHeight="1">
      <c r="A110" s="2442"/>
      <c r="B110" s="2460" t="s">
        <v>895</v>
      </c>
      <c r="C110" s="2014"/>
      <c r="D110" s="2034">
        <f>ROUND(SUM(D100:D109),1)</f>
        <v>3377.5</v>
      </c>
      <c r="E110" s="1454"/>
      <c r="F110" s="2034">
        <f>ROUND(SUM(F100:F109),1)</f>
        <v>0</v>
      </c>
      <c r="G110" s="1454"/>
      <c r="H110" s="2034">
        <f>ROUND(SUM(H100:H109),1)</f>
        <v>0</v>
      </c>
      <c r="I110" s="1437"/>
      <c r="J110" s="1453">
        <f>ROUND(SUM(J100:J109),1)</f>
        <v>0</v>
      </c>
      <c r="K110" s="1437"/>
      <c r="L110" s="2034">
        <f>ROUND(SUM(L100:L109),1)</f>
        <v>0</v>
      </c>
      <c r="M110" s="1437"/>
      <c r="N110" s="2034">
        <f>ROUND(SUM(N100:N109),1)</f>
        <v>0</v>
      </c>
      <c r="O110" s="1437"/>
      <c r="P110" s="1453">
        <f>ROUND(SUM(P100:P109),1)</f>
        <v>0</v>
      </c>
      <c r="Q110" s="1437"/>
      <c r="R110" s="2034">
        <f>ROUND(SUM(R100:R109),1)</f>
        <v>0</v>
      </c>
      <c r="S110" s="1437"/>
      <c r="T110" s="2034">
        <f>ROUND(SUM(T100:T109),1)</f>
        <v>0</v>
      </c>
      <c r="U110" s="1437"/>
      <c r="V110" s="2034">
        <f>ROUND(SUM(V100:V109),1)</f>
        <v>0</v>
      </c>
      <c r="W110" s="1437"/>
      <c r="X110" s="2034">
        <f>ROUND(SUM(X100:X109),1)</f>
        <v>0</v>
      </c>
      <c r="Y110" s="1437"/>
      <c r="Z110" s="2034">
        <f>ROUND(SUM(Z100:Z109),1)</f>
        <v>0</v>
      </c>
      <c r="AA110" s="2045"/>
      <c r="AB110" s="2041"/>
      <c r="AC110" s="1453">
        <f>SUM(AC100:AC109)</f>
        <v>3377.5000000000005</v>
      </c>
      <c r="AD110" s="2042"/>
      <c r="AE110" s="3145" t="s">
        <v>14</v>
      </c>
      <c r="AF110" s="1453">
        <f>ROUND(SUM(AF100:AF109),1)</f>
        <v>1138.9000000000001</v>
      </c>
      <c r="AG110" s="1437"/>
      <c r="AH110" s="2471"/>
      <c r="AI110" s="2034">
        <f>ROUND(SUM(+AC110-AF110),1)</f>
        <v>2238.6</v>
      </c>
      <c r="AJ110" s="1437"/>
      <c r="AK110" s="2489">
        <f>ROUND(SUM(AI110/AF110),3)</f>
        <v>1.966</v>
      </c>
    </row>
    <row r="111" spans="1:39" ht="15" customHeight="1">
      <c r="A111" s="2442"/>
      <c r="B111" s="2036" t="s">
        <v>151</v>
      </c>
      <c r="C111" s="2014"/>
      <c r="D111" s="1436"/>
      <c r="E111" s="1436"/>
      <c r="F111" s="1436"/>
      <c r="G111" s="1436"/>
      <c r="H111" s="1436"/>
      <c r="I111" s="1436"/>
      <c r="J111" s="1992"/>
      <c r="K111" s="1998"/>
      <c r="L111" s="1998"/>
      <c r="M111" s="1998"/>
      <c r="N111" s="1998"/>
      <c r="O111" s="1998"/>
      <c r="P111" s="1987"/>
      <c r="Q111" s="1998"/>
      <c r="R111" s="1998"/>
      <c r="S111" s="1998"/>
      <c r="T111" s="1998"/>
      <c r="U111" s="1998"/>
      <c r="V111" s="1998"/>
      <c r="W111" s="1998"/>
      <c r="X111" s="1998"/>
      <c r="Y111" s="1998"/>
      <c r="Z111" s="1998"/>
      <c r="AA111" s="1456"/>
      <c r="AB111" s="2038"/>
      <c r="AC111" s="1992"/>
      <c r="AD111" s="1987"/>
      <c r="AE111" s="1989"/>
      <c r="AF111" s="1987"/>
      <c r="AG111" s="1998"/>
      <c r="AH111" s="2467"/>
      <c r="AI111" s="1436"/>
      <c r="AJ111" s="2468"/>
      <c r="AK111" s="1425"/>
    </row>
    <row r="112" spans="1:39" ht="15" customHeight="1">
      <c r="A112" s="2442"/>
      <c r="B112" s="2036" t="s">
        <v>152</v>
      </c>
      <c r="C112" s="2014"/>
      <c r="D112" s="3876">
        <f t="shared" ref="D112:D114" si="22">$AC112</f>
        <v>707.6</v>
      </c>
      <c r="E112" s="1436"/>
      <c r="F112" s="1781"/>
      <c r="G112" s="1436"/>
      <c r="H112" s="1781"/>
      <c r="I112" s="1436"/>
      <c r="J112" s="1781"/>
      <c r="K112" s="1990"/>
      <c r="L112" s="1781"/>
      <c r="M112" s="1990"/>
      <c r="N112" s="1781"/>
      <c r="O112" s="1990"/>
      <c r="P112" s="1781"/>
      <c r="Q112" s="1990"/>
      <c r="R112" s="1781"/>
      <c r="S112" s="1990"/>
      <c r="T112" s="1781"/>
      <c r="U112" s="1990"/>
      <c r="V112" s="1781"/>
      <c r="W112" s="1990"/>
      <c r="X112" s="1781"/>
      <c r="Y112" s="1990"/>
      <c r="Z112" s="1781"/>
      <c r="AA112" s="1991"/>
      <c r="AB112" s="1994"/>
      <c r="AC112" s="1797">
        <v>707.6</v>
      </c>
      <c r="AD112" s="2033"/>
      <c r="AE112" s="1994" t="s">
        <v>14</v>
      </c>
      <c r="AF112" s="1797">
        <v>893.7</v>
      </c>
      <c r="AG112" s="1998"/>
      <c r="AH112" s="2467"/>
      <c r="AI112" s="1436">
        <f>ROUND(SUM(+AC112-AF112),1)</f>
        <v>-186.1</v>
      </c>
      <c r="AJ112" s="2468"/>
      <c r="AK112" s="1431">
        <f>ROUND(IF(AF112=0,0,AI112/ABS(AF112)),3)</f>
        <v>-0.20799999999999999</v>
      </c>
    </row>
    <row r="113" spans="1:38" ht="15" customHeight="1">
      <c r="A113" s="2442"/>
      <c r="B113" s="2490" t="s">
        <v>153</v>
      </c>
      <c r="C113" s="2014"/>
      <c r="D113" s="3876">
        <f t="shared" si="22"/>
        <v>136.69999999999999</v>
      </c>
      <c r="E113" s="1436"/>
      <c r="F113" s="1781"/>
      <c r="G113" s="1436"/>
      <c r="H113" s="1781"/>
      <c r="I113" s="1436"/>
      <c r="J113" s="1781"/>
      <c r="K113" s="1990"/>
      <c r="L113" s="1781"/>
      <c r="M113" s="1990"/>
      <c r="N113" s="1781"/>
      <c r="O113" s="1990"/>
      <c r="P113" s="1781"/>
      <c r="Q113" s="1990"/>
      <c r="R113" s="1781"/>
      <c r="S113" s="1990"/>
      <c r="T113" s="1781"/>
      <c r="U113" s="1990"/>
      <c r="V113" s="1781"/>
      <c r="W113" s="1990"/>
      <c r="X113" s="1781"/>
      <c r="Y113" s="1990"/>
      <c r="Z113" s="1781"/>
      <c r="AA113" s="1991"/>
      <c r="AB113" s="1994"/>
      <c r="AC113" s="1797">
        <v>136.69999999999999</v>
      </c>
      <c r="AD113" s="2033"/>
      <c r="AE113" s="1994" t="s">
        <v>14</v>
      </c>
      <c r="AF113" s="1797">
        <v>313.2</v>
      </c>
      <c r="AG113" s="1998"/>
      <c r="AH113" s="2467"/>
      <c r="AI113" s="1436">
        <f>ROUND(SUM(+AC113-AF113),1)</f>
        <v>-176.5</v>
      </c>
      <c r="AJ113" s="2468"/>
      <c r="AK113" s="1431">
        <f>ROUND(IF(AF113=0,0,AI113/ABS(AF113)),3)</f>
        <v>-0.56399999999999995</v>
      </c>
    </row>
    <row r="114" spans="1:38" ht="15" customHeight="1">
      <c r="A114" s="2442"/>
      <c r="B114" s="2490" t="s">
        <v>154</v>
      </c>
      <c r="C114" s="2014"/>
      <c r="D114" s="3876">
        <f t="shared" si="22"/>
        <v>810.3</v>
      </c>
      <c r="E114" s="2475"/>
      <c r="F114" s="1781"/>
      <c r="G114" s="2475"/>
      <c r="H114" s="1781"/>
      <c r="I114" s="1436"/>
      <c r="J114" s="1781"/>
      <c r="K114" s="1990"/>
      <c r="L114" s="1781"/>
      <c r="M114" s="1990"/>
      <c r="N114" s="1781"/>
      <c r="O114" s="1990"/>
      <c r="P114" s="1781"/>
      <c r="Q114" s="1990"/>
      <c r="R114" s="1781"/>
      <c r="S114" s="1990"/>
      <c r="T114" s="1781"/>
      <c r="U114" s="1990"/>
      <c r="V114" s="1781"/>
      <c r="W114" s="1990"/>
      <c r="X114" s="1781"/>
      <c r="Y114" s="1990"/>
      <c r="Z114" s="1781"/>
      <c r="AA114" s="1991"/>
      <c r="AB114" s="1994"/>
      <c r="AC114" s="1797">
        <v>810.3</v>
      </c>
      <c r="AD114" s="2033"/>
      <c r="AE114" s="1994" t="s">
        <v>14</v>
      </c>
      <c r="AF114" s="1797">
        <v>460.2</v>
      </c>
      <c r="AG114" s="1999"/>
      <c r="AH114" s="2467"/>
      <c r="AI114" s="2482">
        <f>ROUND(SUM(+AC114-AF114),1)</f>
        <v>350.1</v>
      </c>
      <c r="AJ114" s="2468"/>
      <c r="AK114" s="1434">
        <f>ROUND(IF(AF114=0,0,AI114/ABS(AF114)),3)</f>
        <v>0.76100000000000001</v>
      </c>
    </row>
    <row r="115" spans="1:38" ht="7.5" customHeight="1">
      <c r="A115" s="2442"/>
      <c r="B115" s="2036"/>
      <c r="C115" s="2014"/>
      <c r="D115" s="2483"/>
      <c r="E115" s="1436"/>
      <c r="F115" s="2483"/>
      <c r="G115" s="1436"/>
      <c r="H115" s="2483"/>
      <c r="I115" s="1436"/>
      <c r="J115" s="2484"/>
      <c r="K115" s="1998"/>
      <c r="L115" s="1997"/>
      <c r="M115" s="1998"/>
      <c r="N115" s="1997"/>
      <c r="O115" s="1998"/>
      <c r="P115" s="2043"/>
      <c r="Q115" s="1998"/>
      <c r="R115" s="2141"/>
      <c r="S115" s="1998"/>
      <c r="T115" s="1997"/>
      <c r="U115" s="1998"/>
      <c r="V115" s="1997"/>
      <c r="W115" s="1998"/>
      <c r="X115" s="1997"/>
      <c r="Y115" s="1998"/>
      <c r="Z115" s="1997"/>
      <c r="AA115" s="2005"/>
      <c r="AB115" s="2038"/>
      <c r="AC115" s="3146"/>
      <c r="AD115" s="1987"/>
      <c r="AE115" s="1989"/>
      <c r="AF115" s="2043"/>
      <c r="AG115" s="1999"/>
      <c r="AH115" s="2467"/>
      <c r="AI115" s="1436"/>
      <c r="AJ115" s="2468"/>
      <c r="AK115" s="1425"/>
    </row>
    <row r="116" spans="1:38" ht="15" customHeight="1">
      <c r="A116" s="2442"/>
      <c r="B116" s="2418" t="s">
        <v>155</v>
      </c>
      <c r="C116" s="2014"/>
      <c r="D116" s="1454">
        <f>ROUND(SUM(D112:D114)+D110,1)</f>
        <v>5032.1000000000004</v>
      </c>
      <c r="E116" s="1454"/>
      <c r="F116" s="1454">
        <f>ROUND(SUM(F110:F114),1)</f>
        <v>0</v>
      </c>
      <c r="G116" s="1454"/>
      <c r="H116" s="1454">
        <f>ROUND(SUM(H110:H114),1)</f>
        <v>0</v>
      </c>
      <c r="I116" s="1454"/>
      <c r="J116" s="2042">
        <f>ROUND(SUM(J110:J114),1)</f>
        <v>0</v>
      </c>
      <c r="K116" s="1454"/>
      <c r="L116" s="1454">
        <f>ROUND(SUM(L110:L114),1)</f>
        <v>0</v>
      </c>
      <c r="M116" s="1454"/>
      <c r="N116" s="1454">
        <f>ROUND(SUM(N110:N114),1)</f>
        <v>0</v>
      </c>
      <c r="O116" s="1454"/>
      <c r="P116" s="2042">
        <f>ROUND(SUM(P110:P114),1)</f>
        <v>0</v>
      </c>
      <c r="Q116" s="1454"/>
      <c r="R116" s="1454">
        <f>ROUND(SUM(R110:R114),1)</f>
        <v>0</v>
      </c>
      <c r="S116" s="1454"/>
      <c r="T116" s="1454">
        <f>ROUND(SUM(T110:T114),1)</f>
        <v>0</v>
      </c>
      <c r="U116" s="1454"/>
      <c r="V116" s="1454">
        <f>ROUND(SUM(V110:V114),1)</f>
        <v>0</v>
      </c>
      <c r="W116" s="1454"/>
      <c r="X116" s="1454">
        <f>ROUND(SUM(X110:X114),1)</f>
        <v>0</v>
      </c>
      <c r="Y116" s="1454"/>
      <c r="Z116" s="1454">
        <f>ROUND(SUM(Z110:Z114),1)</f>
        <v>0</v>
      </c>
      <c r="AA116" s="2045"/>
      <c r="AB116" s="2041"/>
      <c r="AC116" s="2042">
        <f>ROUND(SUM(AC110:AC114),1)</f>
        <v>5032.1000000000004</v>
      </c>
      <c r="AD116" s="2042"/>
      <c r="AE116" s="3145"/>
      <c r="AF116" s="2042">
        <f>ROUND(SUM(AF110:AF114),1)</f>
        <v>2806</v>
      </c>
      <c r="AG116" s="1437"/>
      <c r="AH116" s="2471"/>
      <c r="AI116" s="1552">
        <f>ROUND(SUM(AI110:AI114),1)</f>
        <v>2226.1</v>
      </c>
      <c r="AJ116" s="1437"/>
      <c r="AK116" s="2491">
        <f>ROUND(SUM(AI116/AF116),3)</f>
        <v>0.79300000000000004</v>
      </c>
    </row>
    <row r="117" spans="1:38" ht="15" customHeight="1">
      <c r="A117" s="2442"/>
      <c r="B117" s="2036"/>
      <c r="C117" s="2014"/>
      <c r="D117" s="2483"/>
      <c r="E117" s="1436"/>
      <c r="F117" s="2483"/>
      <c r="G117" s="1436"/>
      <c r="H117" s="2483"/>
      <c r="I117" s="1436"/>
      <c r="J117" s="2484"/>
      <c r="K117" s="1998"/>
      <c r="L117" s="1997"/>
      <c r="M117" s="1998"/>
      <c r="N117" s="1997"/>
      <c r="O117" s="1998"/>
      <c r="P117" s="2043"/>
      <c r="Q117" s="1998"/>
      <c r="R117" s="1997"/>
      <c r="S117" s="1998"/>
      <c r="T117" s="1997"/>
      <c r="U117" s="1998"/>
      <c r="V117" s="1997"/>
      <c r="W117" s="1998"/>
      <c r="X117" s="1997"/>
      <c r="Y117" s="1998"/>
      <c r="Z117" s="1997"/>
      <c r="AA117" s="2005"/>
      <c r="AB117" s="2038"/>
      <c r="AC117" s="3146"/>
      <c r="AD117" s="1987"/>
      <c r="AE117" s="1989"/>
      <c r="AF117" s="2043"/>
      <c r="AG117" s="1999"/>
      <c r="AH117" s="2467"/>
      <c r="AI117" s="1436"/>
      <c r="AJ117" s="2468"/>
      <c r="AK117" s="1425"/>
    </row>
    <row r="118" spans="1:38" ht="15" customHeight="1">
      <c r="A118" s="2442"/>
      <c r="B118" s="2418" t="s">
        <v>156</v>
      </c>
      <c r="C118" s="2014"/>
      <c r="D118" s="1436"/>
      <c r="E118" s="1436"/>
      <c r="F118" s="1436"/>
      <c r="G118" s="1436"/>
      <c r="H118" s="1436"/>
      <c r="I118" s="1436"/>
      <c r="J118" s="1992"/>
      <c r="K118" s="1998"/>
      <c r="L118" s="1998"/>
      <c r="M118" s="1998"/>
      <c r="N118" s="1998"/>
      <c r="O118" s="1998"/>
      <c r="P118" s="1987"/>
      <c r="Q118" s="1998"/>
      <c r="R118" s="1998"/>
      <c r="S118" s="1998"/>
      <c r="T118" s="1998"/>
      <c r="U118" s="1998"/>
      <c r="V118" s="1998"/>
      <c r="W118" s="1998"/>
      <c r="X118" s="1998"/>
      <c r="Y118" s="1998"/>
      <c r="Z118" s="1998"/>
      <c r="AA118" s="1456"/>
      <c r="AB118" s="2038"/>
      <c r="AC118" s="1992"/>
      <c r="AD118" s="1987"/>
      <c r="AE118" s="1989"/>
      <c r="AF118" s="1987"/>
      <c r="AG118" s="1998"/>
      <c r="AH118" s="2467"/>
      <c r="AI118" s="1436"/>
      <c r="AJ118" s="2468"/>
      <c r="AK118" s="1425"/>
    </row>
    <row r="119" spans="1:38" ht="15" customHeight="1">
      <c r="A119" s="2442"/>
      <c r="B119" s="2418" t="s">
        <v>44</v>
      </c>
      <c r="C119" s="2014"/>
      <c r="D119" s="1454">
        <f>ROUND(SUM(D96-D116),1)</f>
        <v>-394.6</v>
      </c>
      <c r="E119" s="1454"/>
      <c r="F119" s="1454">
        <f>ROUND(SUM(F96-F116),1)</f>
        <v>0</v>
      </c>
      <c r="G119" s="1454"/>
      <c r="H119" s="1454">
        <f>ROUND(SUM(H96-H116),1)</f>
        <v>0</v>
      </c>
      <c r="I119" s="1454"/>
      <c r="J119" s="2042">
        <f>ROUND(SUM(J96-J116),1)</f>
        <v>0</v>
      </c>
      <c r="K119" s="1454"/>
      <c r="L119" s="1454">
        <f>ROUND(SUM(L96-L116),1)</f>
        <v>0</v>
      </c>
      <c r="M119" s="1454"/>
      <c r="N119" s="1454">
        <f>ROUND(SUM(N96-N116),1)</f>
        <v>0</v>
      </c>
      <c r="O119" s="1454"/>
      <c r="P119" s="2042">
        <f>ROUND(SUM(P96-P116),1)</f>
        <v>0</v>
      </c>
      <c r="Q119" s="1454"/>
      <c r="R119" s="1454">
        <f>ROUND(SUM(R96-R116),1)</f>
        <v>0</v>
      </c>
      <c r="S119" s="1454"/>
      <c r="T119" s="1454">
        <f>ROUND(SUM(T96-T116),1)</f>
        <v>0</v>
      </c>
      <c r="U119" s="1454"/>
      <c r="V119" s="1454">
        <f>ROUND(SUM(V96-V116),1)</f>
        <v>0</v>
      </c>
      <c r="W119" s="1454"/>
      <c r="X119" s="1454">
        <f>ROUND(SUM(X96-X116),1)</f>
        <v>0</v>
      </c>
      <c r="Y119" s="1454"/>
      <c r="Z119" s="1454">
        <f>ROUND(SUM(Z96-Z116),1)</f>
        <v>0</v>
      </c>
      <c r="AA119" s="2045"/>
      <c r="AB119" s="2041"/>
      <c r="AC119" s="2042">
        <f>ROUND(SUM(AC96-AC116),1)</f>
        <v>-394.6</v>
      </c>
      <c r="AD119" s="2042"/>
      <c r="AE119" s="3145"/>
      <c r="AF119" s="2042">
        <f>ROUND(SUM(AF96-AF116),1)</f>
        <v>-923.4</v>
      </c>
      <c r="AG119" s="1454"/>
      <c r="AH119" s="2471"/>
      <c r="AI119" s="2044">
        <f>ROUND(SUM(+AC119-AF119),1)</f>
        <v>528.79999999999995</v>
      </c>
      <c r="AJ119" s="1437"/>
      <c r="AK119" s="2497">
        <f>-ROUND(AI119/AF119,3)</f>
        <v>0.57299999999999995</v>
      </c>
    </row>
    <row r="120" spans="1:38" ht="15" customHeight="1">
      <c r="A120" s="2442"/>
      <c r="B120" s="2036"/>
      <c r="C120" s="2014"/>
      <c r="D120" s="2483"/>
      <c r="E120" s="1436"/>
      <c r="F120" s="2483"/>
      <c r="G120" s="1436"/>
      <c r="H120" s="2483"/>
      <c r="I120" s="1436"/>
      <c r="J120" s="2484"/>
      <c r="K120" s="1998"/>
      <c r="L120" s="1997"/>
      <c r="M120" s="1998"/>
      <c r="N120" s="1997"/>
      <c r="O120" s="1998"/>
      <c r="P120" s="2043"/>
      <c r="Q120" s="1998"/>
      <c r="R120" s="1997"/>
      <c r="S120" s="1998"/>
      <c r="T120" s="1997"/>
      <c r="U120" s="1998"/>
      <c r="V120" s="1997"/>
      <c r="W120" s="1998"/>
      <c r="X120" s="1997"/>
      <c r="Y120" s="1998"/>
      <c r="Z120" s="1997"/>
      <c r="AA120" s="2005"/>
      <c r="AB120" s="2038"/>
      <c r="AC120" s="3146"/>
      <c r="AD120" s="1987"/>
      <c r="AE120" s="1989"/>
      <c r="AF120" s="2043"/>
      <c r="AG120" s="1997"/>
      <c r="AH120" s="2467"/>
      <c r="AI120" s="1436"/>
      <c r="AJ120" s="2468"/>
      <c r="AK120" s="1425"/>
    </row>
    <row r="121" spans="1:38" ht="15" customHeight="1">
      <c r="A121" s="2442"/>
      <c r="B121" s="2418" t="s">
        <v>45</v>
      </c>
      <c r="C121" s="2014"/>
      <c r="D121" s="1436"/>
      <c r="E121" s="1436"/>
      <c r="F121" s="1436"/>
      <c r="G121" s="1436"/>
      <c r="H121" s="1436"/>
      <c r="I121" s="1436"/>
      <c r="J121" s="1992"/>
      <c r="K121" s="1998"/>
      <c r="L121" s="1998"/>
      <c r="M121" s="1998"/>
      <c r="N121" s="1998"/>
      <c r="O121" s="1998"/>
      <c r="P121" s="1987"/>
      <c r="Q121" s="1998"/>
      <c r="R121" s="1998"/>
      <c r="S121" s="1998"/>
      <c r="T121" s="1998"/>
      <c r="U121" s="1998"/>
      <c r="V121" s="1998"/>
      <c r="W121" s="1998"/>
      <c r="X121" s="1998"/>
      <c r="Y121" s="1998"/>
      <c r="Z121" s="1998"/>
      <c r="AA121" s="1456"/>
      <c r="AB121" s="2038"/>
      <c r="AC121" s="1992"/>
      <c r="AD121" s="1987"/>
      <c r="AE121" s="1989"/>
      <c r="AF121" s="1987"/>
      <c r="AG121" s="1998"/>
      <c r="AH121" s="2467"/>
      <c r="AI121" s="1436"/>
      <c r="AJ121" s="2468"/>
      <c r="AK121" s="1425"/>
    </row>
    <row r="122" spans="1:38" ht="15" customHeight="1">
      <c r="A122" s="2442"/>
      <c r="B122" s="2418"/>
      <c r="C122" s="2014"/>
      <c r="D122" s="1436"/>
      <c r="E122" s="1436"/>
      <c r="F122" s="1436"/>
      <c r="G122" s="1436"/>
      <c r="H122" s="1436"/>
      <c r="I122" s="1436"/>
      <c r="J122" s="1992"/>
      <c r="K122" s="1998"/>
      <c r="L122" s="1998"/>
      <c r="M122" s="1998"/>
      <c r="N122" s="1998"/>
      <c r="O122" s="1998"/>
      <c r="P122" s="1987"/>
      <c r="Q122" s="1998"/>
      <c r="R122" s="1998"/>
      <c r="S122" s="1998"/>
      <c r="T122" s="1998"/>
      <c r="U122" s="1998"/>
      <c r="V122" s="1998"/>
      <c r="W122" s="1998"/>
      <c r="X122" s="1998"/>
      <c r="Y122" s="1998"/>
      <c r="Z122" s="1998"/>
      <c r="AA122" s="1456"/>
      <c r="AB122" s="2038"/>
      <c r="AC122" s="1992"/>
      <c r="AD122" s="1987"/>
      <c r="AE122" s="1989"/>
      <c r="AF122" s="1987"/>
      <c r="AG122" s="1998"/>
      <c r="AH122" s="2467"/>
      <c r="AI122" s="1436"/>
      <c r="AJ122" s="2468"/>
      <c r="AK122" s="1425"/>
    </row>
    <row r="123" spans="1:38" ht="15" customHeight="1">
      <c r="A123" s="2442"/>
      <c r="B123" s="2492" t="s">
        <v>906</v>
      </c>
      <c r="C123" s="2177"/>
      <c r="D123" s="3876">
        <f t="shared" ref="D123:D130" si="23">$AC123</f>
        <v>3262.7</v>
      </c>
      <c r="E123" s="1992"/>
      <c r="F123" s="1781"/>
      <c r="G123" s="1992"/>
      <c r="H123" s="1781"/>
      <c r="I123" s="1992"/>
      <c r="J123" s="1781"/>
      <c r="K123" s="1990"/>
      <c r="L123" s="1781"/>
      <c r="M123" s="1990"/>
      <c r="N123" s="1781"/>
      <c r="O123" s="1990"/>
      <c r="P123" s="1781"/>
      <c r="Q123" s="1990"/>
      <c r="R123" s="1781"/>
      <c r="S123" s="1990"/>
      <c r="T123" s="1781"/>
      <c r="U123" s="1990"/>
      <c r="V123" s="1781"/>
      <c r="W123" s="1990"/>
      <c r="X123" s="1781"/>
      <c r="Y123" s="1990"/>
      <c r="Z123" s="1781"/>
      <c r="AA123" s="1991"/>
      <c r="AB123" s="1994"/>
      <c r="AC123" s="1797">
        <v>3262.7</v>
      </c>
      <c r="AD123" s="2033"/>
      <c r="AE123" s="1994" t="s">
        <v>14</v>
      </c>
      <c r="AF123" s="1797">
        <v>1032.9000000000001</v>
      </c>
      <c r="AG123" s="1987"/>
      <c r="AH123" s="2467"/>
      <c r="AI123" s="1436">
        <f>ROUND(SUM(+AC123-AF123),1)</f>
        <v>2229.8000000000002</v>
      </c>
      <c r="AJ123" s="2468"/>
      <c r="AK123" s="1431">
        <f t="shared" ref="AK123:AK127" si="24">ROUND(IF(AF123=0,0,AI123/ABS(AF123)),3)</f>
        <v>2.1589999999999998</v>
      </c>
    </row>
    <row r="124" spans="1:38" s="2410" customFormat="1" ht="15" customHeight="1">
      <c r="A124" s="2455"/>
      <c r="B124" s="2492" t="s">
        <v>926</v>
      </c>
      <c r="C124" s="2177"/>
      <c r="D124" s="3876">
        <f t="shared" si="23"/>
        <v>870</v>
      </c>
      <c r="E124" s="1992"/>
      <c r="F124" s="1781"/>
      <c r="G124" s="1992"/>
      <c r="H124" s="1781"/>
      <c r="I124" s="1992"/>
      <c r="J124" s="1781"/>
      <c r="K124" s="1990"/>
      <c r="L124" s="1781"/>
      <c r="M124" s="1990"/>
      <c r="N124" s="1781"/>
      <c r="O124" s="1990"/>
      <c r="P124" s="1781"/>
      <c r="Q124" s="1990"/>
      <c r="R124" s="1781"/>
      <c r="S124" s="1990"/>
      <c r="T124" s="1781"/>
      <c r="U124" s="1990"/>
      <c r="V124" s="1781"/>
      <c r="W124" s="1990"/>
      <c r="X124" s="1781"/>
      <c r="Y124" s="1990"/>
      <c r="Z124" s="1781"/>
      <c r="AA124" s="1991"/>
      <c r="AB124" s="1994"/>
      <c r="AC124" s="1797">
        <v>870</v>
      </c>
      <c r="AD124" s="2033"/>
      <c r="AE124" s="1994" t="s">
        <v>14</v>
      </c>
      <c r="AF124" s="1797">
        <v>284.60000000000002</v>
      </c>
      <c r="AG124" s="1987"/>
      <c r="AH124" s="2493"/>
      <c r="AI124" s="1992">
        <f>ROUND(SUM(+AC124-AF124),1)</f>
        <v>585.4</v>
      </c>
      <c r="AJ124" s="2033"/>
      <c r="AK124" s="1716">
        <f t="shared" si="24"/>
        <v>2.0569999999999999</v>
      </c>
      <c r="AL124" s="2408"/>
    </row>
    <row r="125" spans="1:38" s="2410" customFormat="1" ht="15" customHeight="1">
      <c r="A125" s="2455"/>
      <c r="B125" s="2492" t="s">
        <v>907</v>
      </c>
      <c r="C125" s="2177"/>
      <c r="D125" s="3876">
        <f t="shared" si="23"/>
        <v>86.8</v>
      </c>
      <c r="E125" s="1992"/>
      <c r="F125" s="1781"/>
      <c r="G125" s="1992"/>
      <c r="H125" s="1781"/>
      <c r="I125" s="1992"/>
      <c r="J125" s="1781"/>
      <c r="K125" s="1990"/>
      <c r="L125" s="1781"/>
      <c r="M125" s="1990"/>
      <c r="N125" s="1781"/>
      <c r="O125" s="1990"/>
      <c r="P125" s="1781"/>
      <c r="Q125" s="1990"/>
      <c r="R125" s="1781"/>
      <c r="S125" s="1990"/>
      <c r="T125" s="1781"/>
      <c r="U125" s="1990"/>
      <c r="V125" s="1781"/>
      <c r="W125" s="1990"/>
      <c r="X125" s="1781"/>
      <c r="Y125" s="1990"/>
      <c r="Z125" s="1781"/>
      <c r="AA125" s="1991"/>
      <c r="AB125" s="1994"/>
      <c r="AC125" s="1797">
        <v>86.8</v>
      </c>
      <c r="AD125" s="2033"/>
      <c r="AE125" s="1994" t="s">
        <v>14</v>
      </c>
      <c r="AF125" s="1797">
        <v>43.8</v>
      </c>
      <c r="AG125" s="1987"/>
      <c r="AH125" s="2493"/>
      <c r="AI125" s="1992">
        <f>ROUND(SUM(+AC125-AF125),1)</f>
        <v>43</v>
      </c>
      <c r="AJ125" s="2033"/>
      <c r="AK125" s="1716">
        <f t="shared" si="24"/>
        <v>0.98199999999999998</v>
      </c>
      <c r="AL125" s="2408"/>
    </row>
    <row r="126" spans="1:38" s="2410" customFormat="1" ht="15" customHeight="1">
      <c r="A126" s="2455"/>
      <c r="B126" s="2494" t="s">
        <v>158</v>
      </c>
      <c r="C126" s="2177"/>
      <c r="D126" s="3876">
        <f t="shared" si="23"/>
        <v>108.00000000000018</v>
      </c>
      <c r="E126" s="1992"/>
      <c r="F126" s="1781"/>
      <c r="G126" s="1992"/>
      <c r="H126" s="1781"/>
      <c r="I126" s="1992"/>
      <c r="J126" s="1781"/>
      <c r="K126" s="1990"/>
      <c r="L126" s="1781"/>
      <c r="M126" s="1990"/>
      <c r="N126" s="1781"/>
      <c r="O126" s="1990"/>
      <c r="P126" s="1781"/>
      <c r="Q126" s="1990"/>
      <c r="R126" s="1781"/>
      <c r="S126" s="1990"/>
      <c r="T126" s="1781"/>
      <c r="U126" s="1990"/>
      <c r="V126" s="1781"/>
      <c r="W126" s="1990"/>
      <c r="X126" s="1781"/>
      <c r="Y126" s="1990"/>
      <c r="Z126" s="1781"/>
      <c r="AA126" s="1991"/>
      <c r="AB126" s="1994"/>
      <c r="AC126" s="1797">
        <v>108.00000000000018</v>
      </c>
      <c r="AD126" s="2033"/>
      <c r="AE126" s="1994" t="s">
        <v>14</v>
      </c>
      <c r="AF126" s="1797">
        <v>74.899999999999935</v>
      </c>
      <c r="AG126" s="1987"/>
      <c r="AH126" s="2493"/>
      <c r="AI126" s="1992">
        <f>ROUND(SUM(+AC126-AF126),1)</f>
        <v>33.1</v>
      </c>
      <c r="AJ126" s="2033"/>
      <c r="AK126" s="1721">
        <f t="shared" si="24"/>
        <v>0.442</v>
      </c>
      <c r="AL126" s="2408"/>
    </row>
    <row r="127" spans="1:38" ht="15" customHeight="1">
      <c r="A127" s="2442" t="s">
        <v>14</v>
      </c>
      <c r="B127" s="2036" t="s">
        <v>159</v>
      </c>
      <c r="C127" s="2014"/>
      <c r="D127" s="3876">
        <f t="shared" si="23"/>
        <v>-485.70000000000005</v>
      </c>
      <c r="E127" s="1436"/>
      <c r="F127" s="1781"/>
      <c r="G127" s="1436"/>
      <c r="H127" s="1781"/>
      <c r="I127" s="1436"/>
      <c r="J127" s="1781"/>
      <c r="K127" s="1990"/>
      <c r="L127" s="1781"/>
      <c r="M127" s="1990"/>
      <c r="N127" s="1781"/>
      <c r="O127" s="1990"/>
      <c r="P127" s="1781"/>
      <c r="Q127" s="1990"/>
      <c r="R127" s="1781"/>
      <c r="S127" s="1990"/>
      <c r="T127" s="1781"/>
      <c r="U127" s="1990"/>
      <c r="V127" s="1781"/>
      <c r="W127" s="1990"/>
      <c r="X127" s="1781"/>
      <c r="Y127" s="1990"/>
      <c r="Z127" s="1781"/>
      <c r="AA127" s="1991"/>
      <c r="AB127" s="1994"/>
      <c r="AC127" s="1797">
        <v>-485.70000000000005</v>
      </c>
      <c r="AD127" s="2033"/>
      <c r="AE127" s="1994" t="s">
        <v>14</v>
      </c>
      <c r="AF127" s="1797">
        <v>800.3</v>
      </c>
      <c r="AG127" s="1998"/>
      <c r="AH127" s="2467"/>
      <c r="AI127" s="1436">
        <f>ROUND(SUM(+AC127-AF127)*-1,1)</f>
        <v>1286</v>
      </c>
      <c r="AJ127" s="2468"/>
      <c r="AK127" s="1472">
        <f t="shared" si="24"/>
        <v>1.607</v>
      </c>
    </row>
    <row r="128" spans="1:38" s="2410" customFormat="1" ht="15" customHeight="1">
      <c r="A128" s="2455"/>
      <c r="B128" s="2495" t="s">
        <v>1143</v>
      </c>
      <c r="C128" s="2177"/>
      <c r="D128" s="3876">
        <f t="shared" si="23"/>
        <v>0</v>
      </c>
      <c r="E128" s="1992"/>
      <c r="F128" s="1781"/>
      <c r="G128" s="1992"/>
      <c r="H128" s="1781"/>
      <c r="I128" s="1992"/>
      <c r="J128" s="1781"/>
      <c r="K128" s="1990"/>
      <c r="L128" s="1781"/>
      <c r="M128" s="1990"/>
      <c r="N128" s="1781"/>
      <c r="O128" s="1990"/>
      <c r="P128" s="1781"/>
      <c r="Q128" s="1990"/>
      <c r="R128" s="1781"/>
      <c r="S128" s="1990"/>
      <c r="T128" s="1781"/>
      <c r="U128" s="1990"/>
      <c r="V128" s="1781"/>
      <c r="W128" s="1990"/>
      <c r="X128" s="1781"/>
      <c r="Y128" s="1990"/>
      <c r="Z128" s="1781"/>
      <c r="AA128" s="1991"/>
      <c r="AB128" s="1994"/>
      <c r="AC128" s="1797">
        <v>0</v>
      </c>
      <c r="AD128" s="2033"/>
      <c r="AE128" s="1994" t="s">
        <v>14</v>
      </c>
      <c r="AF128" s="1797">
        <v>0</v>
      </c>
      <c r="AG128" s="1987"/>
      <c r="AH128" s="2493"/>
      <c r="AI128" s="1992">
        <f>ROUND(SUM(+AC128-AF128)*-1,1)</f>
        <v>0</v>
      </c>
      <c r="AJ128" s="2033"/>
      <c r="AK128" s="1431">
        <f>ROUND(IF(AF128=0,0,AI128/ABS(AF128)),3)</f>
        <v>0</v>
      </c>
      <c r="AL128" s="2408"/>
    </row>
    <row r="129" spans="1:38" s="2410" customFormat="1" ht="15" customHeight="1">
      <c r="A129" s="2455"/>
      <c r="B129" s="2456" t="s">
        <v>160</v>
      </c>
      <c r="C129" s="2177"/>
      <c r="D129" s="3876">
        <f t="shared" si="23"/>
        <v>-162.6</v>
      </c>
      <c r="E129" s="1436"/>
      <c r="F129" s="1781"/>
      <c r="G129" s="1436"/>
      <c r="H129" s="1781"/>
      <c r="I129" s="1436"/>
      <c r="J129" s="1781"/>
      <c r="K129" s="1990"/>
      <c r="L129" s="1781"/>
      <c r="M129" s="1990"/>
      <c r="N129" s="1781"/>
      <c r="O129" s="1990"/>
      <c r="P129" s="1781"/>
      <c r="Q129" s="1990"/>
      <c r="R129" s="1781"/>
      <c r="S129" s="1990"/>
      <c r="T129" s="1781"/>
      <c r="U129" s="1990"/>
      <c r="V129" s="1781"/>
      <c r="W129" s="1990"/>
      <c r="X129" s="1781"/>
      <c r="Y129" s="1990"/>
      <c r="Z129" s="1781"/>
      <c r="AA129" s="1991"/>
      <c r="AB129" s="1994"/>
      <c r="AC129" s="1797">
        <v>-162.6</v>
      </c>
      <c r="AD129" s="2033"/>
      <c r="AE129" s="1994" t="s">
        <v>14</v>
      </c>
      <c r="AF129" s="1797">
        <v>-32</v>
      </c>
      <c r="AG129" s="1987"/>
      <c r="AH129" s="2493"/>
      <c r="AI129" s="1992">
        <f>ROUND(SUM(+AC129-AF129)*-1,1)</f>
        <v>130.6</v>
      </c>
      <c r="AJ129" s="2033"/>
      <c r="AK129" s="1716">
        <f>ROUND(IF(AF129=0,0,AI129/ABS(AF129)),3)</f>
        <v>4.0810000000000004</v>
      </c>
      <c r="AL129" s="2408"/>
    </row>
    <row r="130" spans="1:38" s="2410" customFormat="1" ht="15" customHeight="1">
      <c r="A130" s="2455"/>
      <c r="B130" s="2456" t="s">
        <v>161</v>
      </c>
      <c r="C130" s="2177"/>
      <c r="D130" s="3876">
        <f t="shared" si="23"/>
        <v>-227.79999999999995</v>
      </c>
      <c r="E130" s="1992"/>
      <c r="F130" s="1781"/>
      <c r="G130" s="1992"/>
      <c r="H130" s="1781"/>
      <c r="I130" s="1992"/>
      <c r="J130" s="1781"/>
      <c r="K130" s="1990"/>
      <c r="L130" s="1781"/>
      <c r="M130" s="1990"/>
      <c r="N130" s="1781"/>
      <c r="O130" s="1990"/>
      <c r="P130" s="1781"/>
      <c r="Q130" s="1990"/>
      <c r="R130" s="1781"/>
      <c r="S130" s="1990"/>
      <c r="T130" s="1781"/>
      <c r="U130" s="1990"/>
      <c r="V130" s="1781"/>
      <c r="W130" s="1990"/>
      <c r="X130" s="1781"/>
      <c r="Y130" s="1990"/>
      <c r="Z130" s="1781"/>
      <c r="AA130" s="1991"/>
      <c r="AB130" s="1994"/>
      <c r="AC130" s="1797">
        <v>-227.79999999999995</v>
      </c>
      <c r="AD130" s="2033"/>
      <c r="AE130" s="1994" t="s">
        <v>14</v>
      </c>
      <c r="AF130" s="1797">
        <v>-142.79999999999995</v>
      </c>
      <c r="AG130" s="1969"/>
      <c r="AH130" s="2493"/>
      <c r="AI130" s="2496">
        <f>ROUND(SUM(+AC130-AF130)*-1,1)</f>
        <v>85</v>
      </c>
      <c r="AJ130" s="2033"/>
      <c r="AK130" s="1804">
        <f>ROUND(IF(AF130=0,0,AI130/ABS(AF130)),3)</f>
        <v>0.59499999999999997</v>
      </c>
      <c r="AL130" s="2408"/>
    </row>
    <row r="131" spans="1:38" ht="5.15" customHeight="1">
      <c r="A131" s="2442"/>
      <c r="B131" s="2456"/>
      <c r="C131" s="2177"/>
      <c r="D131" s="2043"/>
      <c r="E131" s="1987"/>
      <c r="F131" s="2043"/>
      <c r="G131" s="1987"/>
      <c r="H131" s="2043" t="s">
        <v>14</v>
      </c>
      <c r="I131" s="1987"/>
      <c r="J131" s="2043"/>
      <c r="K131" s="1987"/>
      <c r="L131" s="2043"/>
      <c r="M131" s="1987"/>
      <c r="N131" s="2043"/>
      <c r="O131" s="1987"/>
      <c r="P131" s="2043"/>
      <c r="Q131" s="1987"/>
      <c r="R131" s="2043"/>
      <c r="S131" s="1987"/>
      <c r="T131" s="2043"/>
      <c r="U131" s="1987"/>
      <c r="V131" s="2043"/>
      <c r="W131" s="1987"/>
      <c r="X131" s="2043"/>
      <c r="Y131" s="1987"/>
      <c r="Z131" s="2043"/>
      <c r="AA131" s="2010"/>
      <c r="AB131" s="2039"/>
      <c r="AC131" s="3146"/>
      <c r="AD131" s="1987"/>
      <c r="AE131" s="1989"/>
      <c r="AF131" s="2043"/>
      <c r="AG131" s="1969"/>
      <c r="AH131" s="2467"/>
      <c r="AI131" s="1436"/>
      <c r="AJ131" s="2468"/>
      <c r="AK131" s="1425"/>
    </row>
    <row r="132" spans="1:38" ht="15" customHeight="1">
      <c r="A132" s="2442"/>
      <c r="B132" s="2418" t="s">
        <v>162</v>
      </c>
      <c r="C132" s="2014"/>
      <c r="D132" s="1998"/>
      <c r="E132" s="1998"/>
      <c r="F132" s="1998"/>
      <c r="G132" s="1998"/>
      <c r="H132" s="1998"/>
      <c r="I132" s="1998"/>
      <c r="J132" s="1987"/>
      <c r="K132" s="1998"/>
      <c r="L132" s="1998"/>
      <c r="M132" s="1998"/>
      <c r="N132" s="1998"/>
      <c r="O132" s="1998"/>
      <c r="P132" s="1987"/>
      <c r="Q132" s="1998"/>
      <c r="R132" s="1998"/>
      <c r="S132" s="1998"/>
      <c r="T132" s="1998"/>
      <c r="U132" s="1998"/>
      <c r="V132" s="1998"/>
      <c r="W132" s="1998"/>
      <c r="X132" s="1998"/>
      <c r="Y132" s="1456"/>
      <c r="Z132" s="1456"/>
      <c r="AA132" s="1456"/>
      <c r="AB132" s="2038"/>
      <c r="AC132" s="1992"/>
      <c r="AD132" s="1987"/>
      <c r="AE132" s="1989"/>
      <c r="AF132" s="1987"/>
      <c r="AG132" s="1998"/>
      <c r="AH132" s="2467"/>
      <c r="AI132" s="1436"/>
      <c r="AJ132" s="2468"/>
      <c r="AK132" s="1425"/>
    </row>
    <row r="133" spans="1:38" ht="15" customHeight="1">
      <c r="A133" s="2442"/>
      <c r="B133" s="2418" t="s">
        <v>163</v>
      </c>
      <c r="C133" s="2014"/>
      <c r="D133" s="1454">
        <f>ROUND(SUM(D123:D131),1)</f>
        <v>3451.4</v>
      </c>
      <c r="E133" s="1454"/>
      <c r="F133" s="1454">
        <f>ROUND(SUM(F123:F131),1)</f>
        <v>0</v>
      </c>
      <c r="G133" s="1454"/>
      <c r="H133" s="1454">
        <f>ROUND(SUM(H123:H131),1)</f>
        <v>0</v>
      </c>
      <c r="I133" s="1454"/>
      <c r="J133" s="2042">
        <f>ROUND(SUM(J123:J130),1)</f>
        <v>0</v>
      </c>
      <c r="K133" s="1454"/>
      <c r="L133" s="1454">
        <f>ROUND(SUM(L123:L130),1)</f>
        <v>0</v>
      </c>
      <c r="M133" s="1454"/>
      <c r="N133" s="1454">
        <f>ROUND(SUM(N123:N130),1)</f>
        <v>0</v>
      </c>
      <c r="O133" s="1454"/>
      <c r="P133" s="2042">
        <f>ROUND(SUM(P123:P130),1)</f>
        <v>0</v>
      </c>
      <c r="Q133" s="1454"/>
      <c r="R133" s="1454">
        <f>ROUND(SUM(R123:R130),1)</f>
        <v>0</v>
      </c>
      <c r="S133" s="1454"/>
      <c r="T133" s="1454">
        <f>ROUND(SUM(T123:T130),1)</f>
        <v>0</v>
      </c>
      <c r="U133" s="1454"/>
      <c r="V133" s="1454">
        <f>ROUND(SUM(V123:V130),1)</f>
        <v>0</v>
      </c>
      <c r="W133" s="1454"/>
      <c r="X133" s="1454">
        <f>ROUND(SUM(X123:X130),1)</f>
        <v>0</v>
      </c>
      <c r="Y133" s="2002"/>
      <c r="Z133" s="1454">
        <f>ROUND(SUM(Z123:Z130),1)</f>
        <v>0</v>
      </c>
      <c r="AA133" s="2045"/>
      <c r="AB133" s="2041"/>
      <c r="AC133" s="2042">
        <f>ROUND(SUM(AC123:AC130),1)</f>
        <v>3451.4</v>
      </c>
      <c r="AD133" s="2042"/>
      <c r="AE133" s="3145"/>
      <c r="AF133" s="2042">
        <f>ROUND(SUM(AF123:AF130),1)</f>
        <v>2061.6999999999998</v>
      </c>
      <c r="AG133" s="1437"/>
      <c r="AH133" s="2471"/>
      <c r="AI133" s="2044">
        <f>ROUND(SUM(+AC133-AF133),1)</f>
        <v>1389.7</v>
      </c>
      <c r="AJ133" s="1437"/>
      <c r="AK133" s="2497">
        <f>ROUND(SUM(+AI133/AF133),3)</f>
        <v>0.67400000000000004</v>
      </c>
    </row>
    <row r="134" spans="1:38" ht="15" customHeight="1">
      <c r="A134" s="2442"/>
      <c r="B134" s="2036"/>
      <c r="C134" s="2014"/>
      <c r="D134" s="1997"/>
      <c r="E134" s="1998"/>
      <c r="F134" s="1997"/>
      <c r="G134" s="1998"/>
      <c r="H134" s="1997"/>
      <c r="I134" s="1998"/>
      <c r="J134" s="2043"/>
      <c r="K134" s="1998"/>
      <c r="L134" s="1997"/>
      <c r="M134" s="1998"/>
      <c r="N134" s="1997"/>
      <c r="O134" s="1998"/>
      <c r="P134" s="2043"/>
      <c r="Q134" s="1998"/>
      <c r="R134" s="1997"/>
      <c r="S134" s="1998"/>
      <c r="T134" s="1997"/>
      <c r="U134" s="1998"/>
      <c r="V134" s="1997"/>
      <c r="W134" s="1998"/>
      <c r="X134" s="1997"/>
      <c r="Y134" s="1456"/>
      <c r="Z134" s="1460"/>
      <c r="AA134" s="2005"/>
      <c r="AB134" s="2038"/>
      <c r="AC134" s="3146"/>
      <c r="AD134" s="1987"/>
      <c r="AE134" s="1989"/>
      <c r="AF134" s="2043"/>
      <c r="AG134" s="1999"/>
      <c r="AH134" s="2467"/>
      <c r="AI134" s="2498"/>
      <c r="AJ134" s="2499"/>
      <c r="AK134" s="1442"/>
    </row>
    <row r="135" spans="1:38" ht="15" customHeight="1">
      <c r="A135" s="2442"/>
      <c r="B135" s="2418" t="s">
        <v>164</v>
      </c>
      <c r="C135" s="2014"/>
      <c r="D135" s="1998"/>
      <c r="E135" s="1998"/>
      <c r="F135" s="1998"/>
      <c r="G135" s="1998"/>
      <c r="H135" s="1998"/>
      <c r="I135" s="1998"/>
      <c r="J135" s="1987"/>
      <c r="K135" s="1998"/>
      <c r="L135" s="1998"/>
      <c r="M135" s="1998"/>
      <c r="N135" s="1998"/>
      <c r="O135" s="1998"/>
      <c r="P135" s="1987"/>
      <c r="Q135" s="1998"/>
      <c r="R135" s="1998"/>
      <c r="S135" s="1998"/>
      <c r="T135" s="1998"/>
      <c r="U135" s="1998"/>
      <c r="V135" s="1998"/>
      <c r="W135" s="1998"/>
      <c r="X135" s="1998"/>
      <c r="Y135" s="1456"/>
      <c r="Z135" s="1456"/>
      <c r="AA135" s="1456"/>
      <c r="AB135" s="2038"/>
      <c r="AC135" s="1992"/>
      <c r="AD135" s="1987"/>
      <c r="AE135" s="1989"/>
      <c r="AF135" s="1987"/>
      <c r="AG135" s="1998"/>
      <c r="AH135" s="2467"/>
      <c r="AI135" s="2498"/>
      <c r="AJ135" s="2499"/>
      <c r="AK135" s="1442"/>
      <c r="AL135" s="2408" t="s">
        <v>14</v>
      </c>
    </row>
    <row r="136" spans="1:38" ht="15" customHeight="1">
      <c r="A136" s="2442"/>
      <c r="B136" s="2418" t="s">
        <v>165</v>
      </c>
      <c r="C136" s="2014"/>
      <c r="D136" s="1998"/>
      <c r="E136" s="1998"/>
      <c r="F136" s="1998"/>
      <c r="G136" s="1998"/>
      <c r="H136" s="1998"/>
      <c r="I136" s="1998"/>
      <c r="J136" s="1987"/>
      <c r="K136" s="1998"/>
      <c r="L136" s="1998"/>
      <c r="M136" s="1998"/>
      <c r="N136" s="1998"/>
      <c r="O136" s="1998"/>
      <c r="P136" s="1987"/>
      <c r="Q136" s="1998"/>
      <c r="R136" s="1998"/>
      <c r="S136" s="1998"/>
      <c r="T136" s="1998"/>
      <c r="U136" s="1998"/>
      <c r="V136" s="1998"/>
      <c r="W136" s="1998"/>
      <c r="X136" s="1998"/>
      <c r="Y136" s="1456"/>
      <c r="Z136" s="1456"/>
      <c r="AA136" s="1456"/>
      <c r="AB136" s="2038"/>
      <c r="AC136" s="1992"/>
      <c r="AD136" s="1987"/>
      <c r="AE136" s="1989"/>
      <c r="AF136" s="1987"/>
      <c r="AG136" s="1998"/>
      <c r="AH136" s="2467"/>
      <c r="AI136" s="2498"/>
      <c r="AJ136" s="2499"/>
      <c r="AK136" s="1442"/>
    </row>
    <row r="137" spans="1:38" ht="15" customHeight="1">
      <c r="A137" s="2442"/>
      <c r="B137" s="2418" t="s">
        <v>166</v>
      </c>
      <c r="C137" s="2014"/>
      <c r="D137" s="1454">
        <f>ROUND(SUM(D119+D133),1)</f>
        <v>3056.8</v>
      </c>
      <c r="E137" s="1454"/>
      <c r="F137" s="1454">
        <f>ROUND(SUM(F119+F133),1)</f>
        <v>0</v>
      </c>
      <c r="G137" s="1454"/>
      <c r="H137" s="1454">
        <f>ROUND(SUM(H119+H133),1)</f>
        <v>0</v>
      </c>
      <c r="I137" s="1454"/>
      <c r="J137" s="2042">
        <f>ROUND(SUM(J119+J133),1)</f>
        <v>0</v>
      </c>
      <c r="K137" s="1454"/>
      <c r="L137" s="1454">
        <f>ROUND(SUM(L119+L133),1)</f>
        <v>0</v>
      </c>
      <c r="M137" s="1454"/>
      <c r="N137" s="1454">
        <f>ROUND(SUM(N119+N133),1)</f>
        <v>0</v>
      </c>
      <c r="O137" s="1454"/>
      <c r="P137" s="2042">
        <f>ROUND(SUM(P119+P133),1)</f>
        <v>0</v>
      </c>
      <c r="Q137" s="1454"/>
      <c r="R137" s="1454">
        <f>ROUND(SUM(R119+R133),1)</f>
        <v>0</v>
      </c>
      <c r="S137" s="1998"/>
      <c r="T137" s="1454">
        <f>ROUND(SUM(T119+T133),1)</f>
        <v>0</v>
      </c>
      <c r="U137" s="1998"/>
      <c r="V137" s="1454">
        <f>ROUND(SUM(V119+V133),1)</f>
        <v>0</v>
      </c>
      <c r="W137" s="1998"/>
      <c r="X137" s="1454">
        <f>ROUND(SUM(X119+X133),1)</f>
        <v>0</v>
      </c>
      <c r="Y137" s="1456"/>
      <c r="Z137" s="2044">
        <f>ROUND(SUM(Z119+Z133),1)</f>
        <v>0</v>
      </c>
      <c r="AA137" s="2005"/>
      <c r="AB137" s="2038"/>
      <c r="AC137" s="2042">
        <f>ROUND(SUM(AC119+AC133),1)</f>
        <v>3056.8</v>
      </c>
      <c r="AD137" s="2042"/>
      <c r="AE137" s="3145"/>
      <c r="AF137" s="2042">
        <f>ROUND(SUM(AF119+AF133),1)</f>
        <v>1138.3</v>
      </c>
      <c r="AG137" s="1437"/>
      <c r="AH137" s="2471"/>
      <c r="AI137" s="2044">
        <f>ROUND(SUM(+AC137-AF137),1)</f>
        <v>1918.5</v>
      </c>
      <c r="AJ137" s="2500"/>
      <c r="AK137" s="2501">
        <f>ROUND(SUM(AI137/AF137),3)</f>
        <v>1.6850000000000001</v>
      </c>
    </row>
    <row r="138" spans="1:38" ht="9" customHeight="1">
      <c r="A138" s="2442"/>
      <c r="B138" s="2036"/>
      <c r="C138" s="2014"/>
      <c r="D138" s="1460"/>
      <c r="E138" s="2036"/>
      <c r="F138" s="2440"/>
      <c r="G138" s="2036"/>
      <c r="H138" s="2439"/>
      <c r="I138" s="2036"/>
      <c r="J138" s="2043"/>
      <c r="K138" s="2036"/>
      <c r="L138" s="2439"/>
      <c r="M138" s="2036"/>
      <c r="N138" s="2439"/>
      <c r="O138" s="2036"/>
      <c r="P138" s="3041"/>
      <c r="Q138" s="2036"/>
      <c r="R138" s="2439"/>
      <c r="S138" s="2036"/>
      <c r="T138" s="2439"/>
      <c r="U138" s="2036"/>
      <c r="V138" s="2439"/>
      <c r="W138" s="2036"/>
      <c r="X138" s="2439"/>
      <c r="Y138" s="2036"/>
      <c r="Z138" s="2013"/>
      <c r="AA138" s="2013"/>
      <c r="AB138" s="2038"/>
      <c r="AC138" s="3146"/>
      <c r="AD138" s="1987"/>
      <c r="AE138" s="1989"/>
      <c r="AF138" s="2043"/>
      <c r="AG138" s="1999"/>
      <c r="AH138" s="2467"/>
      <c r="AI138" s="2483"/>
      <c r="AJ138" s="2499"/>
      <c r="AK138" s="2502"/>
    </row>
    <row r="139" spans="1:38" ht="15" customHeight="1" thickBot="1">
      <c r="A139" s="2442"/>
      <c r="B139" s="2453" t="s">
        <v>140</v>
      </c>
      <c r="C139" s="2177"/>
      <c r="D139" s="2503">
        <f>ROUND(SUM(D12+D137),1)</f>
        <v>12217.6</v>
      </c>
      <c r="E139" s="2504"/>
      <c r="F139" s="2503">
        <f>ROUND(SUM(F12+F137),1)</f>
        <v>0</v>
      </c>
      <c r="G139" s="2448"/>
      <c r="H139" s="2503">
        <f>ROUND(SUM(H12+H137),1)</f>
        <v>0</v>
      </c>
      <c r="I139" s="2448"/>
      <c r="J139" s="2503">
        <f>ROUND(SUM(J12+J137),1)</f>
        <v>0</v>
      </c>
      <c r="K139" s="2448"/>
      <c r="L139" s="2503">
        <f>ROUND(SUM(L12+L137),1)</f>
        <v>0</v>
      </c>
      <c r="M139" s="2448"/>
      <c r="N139" s="2503">
        <f>ROUND(SUM(N12+N137),1)</f>
        <v>0</v>
      </c>
      <c r="O139" s="2448"/>
      <c r="P139" s="2503">
        <f>ROUND(SUM(P12+P137),1)</f>
        <v>0</v>
      </c>
      <c r="Q139" s="2448"/>
      <c r="R139" s="2503">
        <f>ROUND(SUM(R12+R137),1)</f>
        <v>0</v>
      </c>
      <c r="S139" s="2448"/>
      <c r="T139" s="2503">
        <f>ROUND(SUM(T12+T137),1)</f>
        <v>0</v>
      </c>
      <c r="U139" s="2448"/>
      <c r="V139" s="2503">
        <f>ROUND(SUM(V12+V137),1)</f>
        <v>0</v>
      </c>
      <c r="W139" s="2448"/>
      <c r="X139" s="2503">
        <f>ROUND(SUM(X12+X137),1)</f>
        <v>0</v>
      </c>
      <c r="Y139" s="2448"/>
      <c r="Z139" s="2503">
        <f>ROUND(SUM(Z12+Z137),1)</f>
        <v>0</v>
      </c>
      <c r="AA139" s="2504"/>
      <c r="AB139" s="2505"/>
      <c r="AC139" s="2181">
        <f>ROUND(SUM(AC12+AC137),1)</f>
        <v>12217.6</v>
      </c>
      <c r="AD139" s="2042"/>
      <c r="AE139" s="3145"/>
      <c r="AF139" s="2503">
        <f>ROUND(SUM(AF12+AF137),1)</f>
        <v>10082.5</v>
      </c>
      <c r="AG139" s="2506"/>
      <c r="AH139" s="2449"/>
      <c r="AI139" s="2507">
        <f>ROUND(SUM(+AC139-AF139),1)</f>
        <v>2135.1</v>
      </c>
      <c r="AJ139" s="2500"/>
      <c r="AK139" s="2508">
        <f>ROUND(SUM(+AI139/AF139),3)</f>
        <v>0.21199999999999999</v>
      </c>
    </row>
    <row r="140" spans="1:38" ht="15" customHeight="1" thickTop="1">
      <c r="A140" s="2442"/>
      <c r="B140" s="2036"/>
      <c r="C140" s="2014"/>
      <c r="D140" s="2013"/>
      <c r="E140" s="2509"/>
      <c r="F140" s="2510"/>
      <c r="G140" s="2509"/>
      <c r="H140" s="2013"/>
      <c r="I140" s="2509"/>
      <c r="J140" s="1969"/>
      <c r="K140" s="2509"/>
      <c r="L140" s="2013"/>
      <c r="M140" s="2509"/>
      <c r="N140" s="2013"/>
      <c r="O140" s="2509"/>
      <c r="P140" s="2176"/>
      <c r="Q140" s="2509"/>
      <c r="R140" s="2013"/>
      <c r="S140" s="2509"/>
      <c r="T140" s="2013"/>
      <c r="U140" s="2509"/>
      <c r="V140" s="2013"/>
      <c r="W140" s="2509"/>
      <c r="X140" s="2013"/>
      <c r="Y140" s="2509"/>
      <c r="Z140" s="2013"/>
      <c r="AA140" s="2013"/>
      <c r="AB140" s="2509"/>
      <c r="AC140" s="1969"/>
      <c r="AD140" s="1969"/>
      <c r="AE140" s="1969"/>
      <c r="AF140" s="1969"/>
      <c r="AG140" s="1999"/>
      <c r="AH140" s="2511"/>
      <c r="AI140" s="2498"/>
      <c r="AJ140" s="2499"/>
      <c r="AK140" s="1442"/>
    </row>
    <row r="141" spans="1:38" ht="15" customHeight="1">
      <c r="A141" s="2442"/>
      <c r="B141" s="2036" t="s">
        <v>14</v>
      </c>
      <c r="C141" s="2014"/>
      <c r="D141" s="2013"/>
      <c r="E141" s="2036"/>
      <c r="F141" s="2510"/>
      <c r="G141" s="2036"/>
      <c r="H141" s="2013"/>
      <c r="I141" s="2036"/>
      <c r="J141" s="1969"/>
      <c r="K141" s="2036"/>
      <c r="L141" s="2013"/>
      <c r="M141" s="2036"/>
      <c r="N141" s="2013"/>
      <c r="O141" s="2036"/>
      <c r="P141" s="2176"/>
      <c r="Q141" s="2036"/>
      <c r="R141" s="2013"/>
      <c r="S141" s="2036"/>
      <c r="T141" s="2013"/>
      <c r="U141" s="2036"/>
      <c r="V141" s="2013"/>
      <c r="W141" s="2036"/>
      <c r="X141" s="2013"/>
      <c r="Y141" s="2036"/>
      <c r="Z141" s="2013"/>
      <c r="AA141" s="2013"/>
      <c r="AB141" s="2036"/>
      <c r="AC141" s="1969"/>
      <c r="AD141" s="1987"/>
      <c r="AE141" s="1987"/>
      <c r="AF141" s="1969"/>
      <c r="AG141" s="1999"/>
      <c r="AH141" s="2512"/>
      <c r="AI141" s="2498"/>
      <c r="AJ141" s="2499"/>
      <c r="AK141" s="1442"/>
    </row>
    <row r="142" spans="1:38" ht="15" customHeight="1">
      <c r="A142" s="2442"/>
      <c r="B142" s="2036"/>
      <c r="C142" s="2014"/>
      <c r="D142" s="2013"/>
      <c r="E142" s="2036"/>
      <c r="F142" s="2510"/>
      <c r="G142" s="2036"/>
      <c r="H142" s="2013"/>
      <c r="I142" s="2036"/>
      <c r="J142" s="1969"/>
      <c r="K142" s="2036"/>
      <c r="L142" s="2013"/>
      <c r="M142" s="2036"/>
      <c r="N142" s="2013"/>
      <c r="O142" s="2036"/>
      <c r="P142" s="2176"/>
      <c r="Q142" s="2036"/>
      <c r="R142" s="2013"/>
      <c r="S142" s="2036"/>
      <c r="T142" s="2013"/>
      <c r="U142" s="2036"/>
      <c r="V142" s="2013"/>
      <c r="W142" s="2036"/>
      <c r="X142" s="2013"/>
      <c r="Y142" s="2036"/>
      <c r="Z142" s="2013"/>
      <c r="AA142" s="2013"/>
      <c r="AB142" s="2036"/>
      <c r="AC142" s="22"/>
      <c r="AD142" s="1987"/>
      <c r="AE142" s="1987"/>
      <c r="AF142" s="1969"/>
      <c r="AG142" s="1999"/>
      <c r="AH142" s="2512"/>
      <c r="AI142" s="2498"/>
      <c r="AJ142" s="2499"/>
      <c r="AK142" s="1442"/>
    </row>
    <row r="143" spans="1:38" ht="15" customHeight="1">
      <c r="A143" s="2413"/>
      <c r="B143" s="2513"/>
      <c r="C143" s="2514"/>
      <c r="D143" s="2514"/>
      <c r="E143" s="2515"/>
      <c r="F143" s="2515"/>
      <c r="G143" s="2515"/>
      <c r="H143" s="2014"/>
      <c r="I143" s="2014"/>
      <c r="J143" s="1987"/>
      <c r="K143" s="2014"/>
      <c r="L143" s="2014"/>
      <c r="M143" s="2014"/>
      <c r="N143" s="2014"/>
      <c r="O143" s="2014"/>
      <c r="P143" s="2177"/>
      <c r="Q143" s="2014"/>
      <c r="R143" s="2014"/>
      <c r="S143" s="2014"/>
      <c r="T143" s="2014"/>
      <c r="U143" s="2014"/>
      <c r="V143" s="2014"/>
      <c r="W143" s="2014"/>
      <c r="X143" s="2014"/>
      <c r="Y143" s="2014"/>
      <c r="Z143" s="2014"/>
      <c r="AA143" s="2014"/>
      <c r="AB143" s="2014"/>
      <c r="AC143" s="1987"/>
      <c r="AD143" s="1987"/>
      <c r="AE143" s="1987"/>
      <c r="AF143" s="1987"/>
      <c r="AG143" s="1998"/>
      <c r="AH143" s="2516"/>
      <c r="AI143" s="1436"/>
      <c r="AJ143" s="2468"/>
      <c r="AK143" s="1425"/>
    </row>
    <row r="144" spans="1:38" ht="14.15" customHeight="1">
      <c r="A144" s="2413"/>
      <c r="B144" s="2513"/>
      <c r="C144" s="2514"/>
      <c r="D144" s="2514"/>
      <c r="E144" s="2515"/>
      <c r="F144" s="2515"/>
      <c r="G144" s="2515"/>
      <c r="H144" s="2014"/>
      <c r="I144" s="2014"/>
      <c r="J144" s="1987"/>
      <c r="K144" s="2014"/>
      <c r="L144" s="2014"/>
      <c r="M144" s="2014"/>
      <c r="N144" s="2014"/>
      <c r="O144" s="2014"/>
      <c r="P144" s="2177"/>
      <c r="Q144" s="2014"/>
      <c r="R144" s="2014"/>
      <c r="S144" s="2014"/>
      <c r="T144" s="2014"/>
      <c r="U144" s="2014"/>
      <c r="V144" s="2014"/>
      <c r="W144" s="2014"/>
      <c r="X144" s="2014"/>
      <c r="Y144" s="2014"/>
      <c r="Z144" s="2014"/>
      <c r="AA144" s="2014"/>
      <c r="AB144" s="2014"/>
      <c r="AC144" s="1987"/>
      <c r="AD144" s="1987"/>
      <c r="AE144" s="1987"/>
      <c r="AF144" s="1987"/>
      <c r="AG144" s="1998"/>
      <c r="AH144" s="2516"/>
      <c r="AI144" s="1436"/>
      <c r="AJ144" s="2468"/>
      <c r="AK144" s="1425"/>
    </row>
    <row r="145" spans="1:37" ht="15" customHeight="1">
      <c r="A145" s="2413"/>
      <c r="B145" s="2513"/>
      <c r="C145" s="2514"/>
      <c r="D145" s="2514"/>
      <c r="E145" s="2515"/>
      <c r="F145" s="2515"/>
      <c r="G145" s="2515"/>
      <c r="H145" s="2014"/>
      <c r="I145" s="2014"/>
      <c r="J145" s="1987"/>
      <c r="K145" s="2014"/>
      <c r="L145" s="2014"/>
      <c r="M145" s="2014"/>
      <c r="N145" s="2014"/>
      <c r="O145" s="2014"/>
      <c r="P145" s="2177"/>
      <c r="Q145" s="2014"/>
      <c r="R145" s="2014"/>
      <c r="S145" s="2014"/>
      <c r="T145" s="2014"/>
      <c r="U145" s="2014"/>
      <c r="V145" s="2014"/>
      <c r="W145" s="2014"/>
      <c r="X145" s="2014"/>
      <c r="Y145" s="2014"/>
      <c r="Z145" s="2014"/>
      <c r="AA145" s="2014"/>
      <c r="AB145" s="2014"/>
      <c r="AC145" s="1987"/>
      <c r="AD145" s="1987"/>
      <c r="AE145" s="1987"/>
      <c r="AF145" s="1987"/>
      <c r="AG145" s="1998"/>
      <c r="AH145" s="2516"/>
      <c r="AI145" s="1436"/>
      <c r="AJ145" s="2468"/>
      <c r="AK145" s="1425"/>
    </row>
    <row r="146" spans="1:37" ht="15.75" customHeight="1">
      <c r="A146" s="2413"/>
      <c r="B146" s="2513"/>
      <c r="C146" s="2514"/>
      <c r="D146" s="2514"/>
      <c r="E146" s="2515"/>
      <c r="F146" s="2515"/>
      <c r="G146" s="2515"/>
      <c r="H146" s="2014"/>
      <c r="I146" s="2014"/>
      <c r="J146" s="1987"/>
      <c r="K146" s="2014"/>
      <c r="L146" s="2014"/>
      <c r="M146" s="2014"/>
      <c r="N146" s="2014"/>
      <c r="O146" s="2014"/>
      <c r="P146" s="2177"/>
      <c r="Q146" s="2014"/>
      <c r="R146" s="2014"/>
      <c r="S146" s="2014"/>
      <c r="T146" s="2014"/>
      <c r="U146" s="2014"/>
      <c r="V146" s="2014"/>
      <c r="W146" s="2014"/>
      <c r="X146" s="2014"/>
      <c r="Y146" s="2014"/>
      <c r="Z146" s="2014"/>
      <c r="AA146" s="2014"/>
      <c r="AB146" s="2014"/>
      <c r="AC146" s="1987"/>
      <c r="AD146" s="1987"/>
      <c r="AE146" s="1987"/>
      <c r="AF146" s="1987"/>
      <c r="AG146" s="1998"/>
      <c r="AH146" s="2516"/>
      <c r="AI146" s="1436"/>
      <c r="AJ146" s="2468"/>
      <c r="AK146" s="1425"/>
    </row>
    <row r="147" spans="1:37" ht="14.25" customHeight="1">
      <c r="A147" s="2413"/>
      <c r="B147" s="2513"/>
      <c r="C147" s="2514"/>
      <c r="D147" s="2514"/>
      <c r="E147" s="2515"/>
      <c r="F147" s="2515"/>
      <c r="G147" s="2515"/>
      <c r="H147" s="2014"/>
      <c r="I147" s="2014"/>
      <c r="J147" s="1987"/>
      <c r="K147" s="2014"/>
      <c r="L147" s="2014"/>
      <c r="M147" s="2014"/>
      <c r="N147" s="2014"/>
      <c r="O147" s="2014"/>
      <c r="P147" s="2177"/>
      <c r="Q147" s="2014"/>
      <c r="R147" s="2014"/>
      <c r="S147" s="2014"/>
      <c r="T147" s="2014"/>
      <c r="U147" s="2014"/>
      <c r="V147" s="2014"/>
      <c r="W147" s="2014"/>
      <c r="X147" s="2014"/>
      <c r="Y147" s="2014"/>
      <c r="Z147" s="2014"/>
      <c r="AA147" s="2014"/>
      <c r="AB147" s="2014"/>
      <c r="AC147" s="1987"/>
      <c r="AD147" s="1987"/>
      <c r="AE147" s="1987"/>
      <c r="AF147" s="1987"/>
      <c r="AG147" s="1998"/>
      <c r="AH147" s="2516"/>
      <c r="AI147" s="1436"/>
      <c r="AJ147" s="2468"/>
      <c r="AK147" s="1425"/>
    </row>
    <row r="148" spans="1:37" ht="14.25" customHeight="1">
      <c r="A148" s="2413"/>
      <c r="B148" s="2513"/>
      <c r="C148" s="2514"/>
      <c r="D148" s="2514"/>
      <c r="E148" s="2515"/>
      <c r="F148" s="2515"/>
      <c r="G148" s="2515"/>
      <c r="H148" s="2014"/>
      <c r="I148" s="2014"/>
      <c r="J148" s="1987"/>
      <c r="K148" s="2014"/>
      <c r="L148" s="2014"/>
      <c r="M148" s="2014"/>
      <c r="N148" s="2014"/>
      <c r="O148" s="2014"/>
      <c r="P148" s="2177"/>
      <c r="Q148" s="2014"/>
      <c r="R148" s="2014"/>
      <c r="S148" s="2014"/>
      <c r="T148" s="2014"/>
      <c r="U148" s="2014"/>
      <c r="V148" s="2014"/>
      <c r="W148" s="2014"/>
      <c r="X148" s="2014"/>
      <c r="Y148" s="2014"/>
      <c r="Z148" s="2014"/>
      <c r="AA148" s="2014"/>
      <c r="AB148" s="2014"/>
      <c r="AC148" s="1987"/>
      <c r="AD148" s="1987"/>
      <c r="AE148" s="1987"/>
      <c r="AF148" s="1987"/>
      <c r="AG148" s="1998"/>
      <c r="AH148" s="2516"/>
      <c r="AI148" s="1436"/>
      <c r="AJ148" s="2468"/>
      <c r="AK148" s="1425"/>
    </row>
    <row r="149" spans="1:37" ht="14.25" customHeight="1">
      <c r="A149" s="2413"/>
      <c r="B149" s="2513"/>
      <c r="C149" s="2514"/>
      <c r="D149" s="2514"/>
      <c r="E149" s="2515"/>
      <c r="F149" s="2515"/>
      <c r="G149" s="2515"/>
      <c r="H149" s="2014"/>
      <c r="I149" s="2014"/>
      <c r="J149" s="1987"/>
      <c r="K149" s="2014"/>
      <c r="L149" s="2014"/>
      <c r="M149" s="2014"/>
      <c r="N149" s="2014"/>
      <c r="O149" s="2014"/>
      <c r="P149" s="2177"/>
      <c r="Q149" s="2014"/>
      <c r="R149" s="2014"/>
      <c r="S149" s="2014"/>
      <c r="T149" s="2014"/>
      <c r="U149" s="2014"/>
      <c r="V149" s="2014"/>
      <c r="W149" s="2014"/>
      <c r="X149" s="2014"/>
      <c r="Y149" s="2014"/>
      <c r="Z149" s="2014"/>
      <c r="AA149" s="2014"/>
      <c r="AB149" s="2014"/>
      <c r="AC149" s="1987"/>
      <c r="AD149" s="1987"/>
      <c r="AE149" s="1987"/>
      <c r="AF149" s="1987"/>
      <c r="AG149" s="1998"/>
      <c r="AH149" s="2516"/>
      <c r="AI149" s="1436"/>
      <c r="AJ149" s="2468"/>
      <c r="AK149" s="1425"/>
    </row>
    <row r="150" spans="1:37" ht="14.25" customHeight="1">
      <c r="A150" s="2413"/>
      <c r="B150" s="2513"/>
      <c r="C150" s="2514"/>
      <c r="D150" s="2514"/>
      <c r="E150" s="2515"/>
      <c r="F150" s="2515"/>
      <c r="G150" s="2515"/>
      <c r="H150" s="2014"/>
      <c r="I150" s="2014"/>
      <c r="J150" s="1987"/>
      <c r="K150" s="2014"/>
      <c r="L150" s="2014"/>
      <c r="M150" s="2014"/>
      <c r="N150" s="2014"/>
      <c r="O150" s="2014"/>
      <c r="P150" s="2177"/>
      <c r="Q150" s="2014"/>
      <c r="R150" s="2014"/>
      <c r="S150" s="2014"/>
      <c r="T150" s="2014"/>
      <c r="U150" s="2014"/>
      <c r="V150" s="2014"/>
      <c r="W150" s="2014"/>
      <c r="X150" s="2014"/>
      <c r="Y150" s="2014"/>
      <c r="Z150" s="2014"/>
      <c r="AA150" s="2014"/>
      <c r="AB150" s="2014"/>
      <c r="AC150" s="1987"/>
      <c r="AD150" s="1987"/>
      <c r="AE150" s="1987"/>
      <c r="AF150" s="1987"/>
      <c r="AG150" s="1998"/>
      <c r="AH150" s="2516"/>
      <c r="AI150" s="1436"/>
      <c r="AJ150" s="2468"/>
      <c r="AK150" s="1425"/>
    </row>
    <row r="151" spans="1:37" ht="14.25" customHeight="1">
      <c r="A151" s="2413"/>
      <c r="B151" s="2513"/>
      <c r="C151" s="2514"/>
      <c r="D151" s="2514"/>
      <c r="E151" s="2515"/>
      <c r="F151" s="2515"/>
      <c r="G151" s="2515"/>
      <c r="H151" s="2014"/>
      <c r="I151" s="2014"/>
      <c r="J151" s="1987"/>
      <c r="K151" s="2014"/>
      <c r="L151" s="2014"/>
      <c r="M151" s="2014"/>
      <c r="N151" s="2014"/>
      <c r="O151" s="2014"/>
      <c r="P151" s="2177"/>
      <c r="Q151" s="2014"/>
      <c r="R151" s="2014"/>
      <c r="S151" s="2014"/>
      <c r="T151" s="2014"/>
      <c r="U151" s="2014"/>
      <c r="V151" s="2014"/>
      <c r="W151" s="2014"/>
      <c r="X151" s="2014"/>
      <c r="Y151" s="2014"/>
      <c r="Z151" s="2014"/>
      <c r="AA151" s="2014"/>
      <c r="AB151" s="2014"/>
      <c r="AC151" s="1987"/>
      <c r="AD151" s="1987"/>
      <c r="AE151" s="1987"/>
      <c r="AF151" s="1987"/>
      <c r="AG151" s="1998"/>
      <c r="AH151" s="2516"/>
      <c r="AI151" s="1436"/>
      <c r="AJ151" s="2468"/>
      <c r="AK151" s="1425"/>
    </row>
    <row r="152" spans="1:37" ht="14.25" customHeight="1">
      <c r="A152" s="2413"/>
      <c r="B152" s="2513"/>
      <c r="C152" s="2514"/>
      <c r="D152" s="2514"/>
      <c r="E152" s="2515"/>
      <c r="F152" s="2515"/>
      <c r="G152" s="2515"/>
      <c r="H152" s="2014"/>
      <c r="I152" s="2014"/>
      <c r="J152" s="1987"/>
      <c r="K152" s="2014"/>
      <c r="L152" s="2014"/>
      <c r="M152" s="2014"/>
      <c r="N152" s="2014"/>
      <c r="O152" s="2014"/>
      <c r="P152" s="2177"/>
      <c r="Q152" s="2014"/>
      <c r="R152" s="2014"/>
      <c r="S152" s="2014"/>
      <c r="T152" s="2014"/>
      <c r="U152" s="2014"/>
      <c r="V152" s="2014"/>
      <c r="W152" s="2014"/>
      <c r="X152" s="2014"/>
      <c r="Y152" s="2014"/>
      <c r="Z152" s="2014"/>
      <c r="AA152" s="2014"/>
      <c r="AB152" s="2014"/>
      <c r="AC152" s="1987"/>
      <c r="AD152" s="1987"/>
      <c r="AE152" s="1987"/>
      <c r="AF152" s="1987"/>
      <c r="AG152" s="1998"/>
      <c r="AH152" s="2516"/>
      <c r="AI152" s="1436"/>
      <c r="AJ152" s="2468"/>
      <c r="AK152" s="1425"/>
    </row>
    <row r="153" spans="1:37" ht="14.25" customHeight="1">
      <c r="A153" s="2413"/>
      <c r="B153" s="2513"/>
      <c r="C153" s="2514"/>
      <c r="D153" s="2514"/>
      <c r="E153" s="2515"/>
      <c r="F153" s="2515"/>
      <c r="G153" s="2515"/>
      <c r="H153" s="2014"/>
      <c r="I153" s="2014"/>
      <c r="J153" s="1987"/>
      <c r="K153" s="2014"/>
      <c r="L153" s="2014"/>
      <c r="M153" s="2014"/>
      <c r="N153" s="2014"/>
      <c r="O153" s="2014"/>
      <c r="P153" s="2177"/>
      <c r="Q153" s="2014"/>
      <c r="R153" s="2014"/>
      <c r="S153" s="2014"/>
      <c r="T153" s="2014"/>
      <c r="U153" s="2014"/>
      <c r="V153" s="2014"/>
      <c r="W153" s="2014"/>
      <c r="X153" s="2014"/>
      <c r="Y153" s="2014"/>
      <c r="Z153" s="2014"/>
      <c r="AA153" s="2014"/>
      <c r="AB153" s="2014"/>
      <c r="AC153" s="1987"/>
      <c r="AD153" s="1987"/>
      <c r="AE153" s="1987"/>
      <c r="AF153" s="1987"/>
      <c r="AG153" s="1998"/>
      <c r="AH153" s="2516"/>
      <c r="AI153" s="1436"/>
      <c r="AJ153" s="2468"/>
      <c r="AK153" s="1425"/>
    </row>
    <row r="154" spans="1:37" ht="14.25" customHeight="1">
      <c r="A154" s="2413"/>
      <c r="B154" s="2513"/>
      <c r="C154" s="2514"/>
      <c r="D154" s="2514"/>
      <c r="E154" s="2515"/>
      <c r="F154" s="2515"/>
      <c r="G154" s="2515"/>
      <c r="H154" s="2014"/>
      <c r="I154" s="2014"/>
      <c r="J154" s="1987"/>
      <c r="K154" s="2014"/>
      <c r="L154" s="2014"/>
      <c r="M154" s="2014"/>
      <c r="N154" s="2014"/>
      <c r="O154" s="2014"/>
      <c r="P154" s="2177"/>
      <c r="Q154" s="2014"/>
      <c r="R154" s="2014"/>
      <c r="S154" s="2014"/>
      <c r="T154" s="2014"/>
      <c r="U154" s="2014"/>
      <c r="V154" s="2014"/>
      <c r="W154" s="2014"/>
      <c r="X154" s="2014"/>
      <c r="Y154" s="2014"/>
      <c r="Z154" s="2014"/>
      <c r="AA154" s="2014"/>
      <c r="AB154" s="2014"/>
      <c r="AC154" s="2177"/>
      <c r="AD154" s="2177"/>
      <c r="AE154" s="2177"/>
      <c r="AF154" s="2177"/>
      <c r="AG154" s="2014"/>
      <c r="AH154" s="2517"/>
      <c r="AI154" s="1426"/>
      <c r="AJ154" s="2518"/>
      <c r="AK154" s="1425"/>
    </row>
    <row r="155" spans="1:37" ht="14.25" customHeight="1">
      <c r="A155" s="2413"/>
      <c r="B155" s="2513"/>
      <c r="C155" s="2514"/>
      <c r="D155" s="2514"/>
      <c r="E155" s="2515"/>
      <c r="F155" s="2515"/>
      <c r="G155" s="2515"/>
      <c r="H155" s="2014"/>
      <c r="I155" s="2014"/>
      <c r="J155" s="1987"/>
      <c r="K155" s="2014"/>
      <c r="L155" s="2014"/>
      <c r="M155" s="2014"/>
      <c r="N155" s="2014"/>
      <c r="O155" s="2014"/>
      <c r="P155" s="2177"/>
      <c r="Q155" s="2014"/>
      <c r="R155" s="2014"/>
      <c r="S155" s="2014"/>
      <c r="T155" s="2014"/>
      <c r="U155" s="2014"/>
      <c r="V155" s="2014"/>
      <c r="W155" s="2014"/>
      <c r="X155" s="2014"/>
      <c r="Y155" s="2014"/>
      <c r="Z155" s="2014"/>
      <c r="AA155" s="2014"/>
      <c r="AB155" s="2014"/>
      <c r="AC155" s="2177"/>
      <c r="AD155" s="2177"/>
      <c r="AE155" s="2177"/>
      <c r="AF155" s="2177"/>
      <c r="AG155" s="2014"/>
      <c r="AH155" s="2517"/>
      <c r="AI155" s="1426"/>
      <c r="AJ155" s="2518"/>
      <c r="AK155" s="1425"/>
    </row>
    <row r="156" spans="1:37" ht="14.25" customHeight="1">
      <c r="A156" s="2413"/>
      <c r="B156" s="2513"/>
      <c r="C156" s="2514"/>
      <c r="D156" s="2514"/>
      <c r="E156" s="2515"/>
      <c r="F156" s="2515"/>
      <c r="G156" s="2515"/>
      <c r="H156" s="2014"/>
      <c r="I156" s="2014"/>
      <c r="J156" s="1987"/>
      <c r="K156" s="2014"/>
      <c r="L156" s="2014"/>
      <c r="M156" s="2014"/>
      <c r="N156" s="2014"/>
      <c r="O156" s="2014"/>
      <c r="P156" s="2177"/>
      <c r="Q156" s="2014"/>
      <c r="R156" s="2014"/>
      <c r="S156" s="2014"/>
      <c r="T156" s="2014"/>
      <c r="U156" s="2014"/>
      <c r="V156" s="2014"/>
      <c r="W156" s="2014"/>
      <c r="X156" s="2014"/>
      <c r="Y156" s="2014"/>
      <c r="Z156" s="2014"/>
      <c r="AA156" s="2014"/>
      <c r="AB156" s="2014"/>
      <c r="AC156" s="2177"/>
      <c r="AD156" s="2177"/>
      <c r="AE156" s="2177"/>
      <c r="AF156" s="2177"/>
      <c r="AG156" s="2014"/>
      <c r="AH156" s="2517"/>
      <c r="AI156" s="1426"/>
      <c r="AJ156" s="2518"/>
      <c r="AK156" s="1425"/>
    </row>
    <row r="157" spans="1:37" ht="14.25" customHeight="1">
      <c r="A157" s="2413"/>
      <c r="B157" s="2513"/>
      <c r="C157" s="2514"/>
      <c r="D157" s="2514"/>
      <c r="E157" s="2515"/>
      <c r="F157" s="2515"/>
      <c r="G157" s="2515"/>
      <c r="H157" s="2014"/>
      <c r="I157" s="2014"/>
      <c r="J157" s="1987"/>
      <c r="K157" s="2014"/>
      <c r="L157" s="2014"/>
      <c r="M157" s="2014"/>
      <c r="N157" s="2014"/>
      <c r="O157" s="2014"/>
      <c r="P157" s="2177"/>
      <c r="Q157" s="2014"/>
      <c r="R157" s="2014"/>
      <c r="S157" s="2014"/>
      <c r="T157" s="2014"/>
      <c r="U157" s="2014"/>
      <c r="V157" s="2014"/>
      <c r="W157" s="2014"/>
      <c r="X157" s="2014"/>
      <c r="Y157" s="2014"/>
      <c r="Z157" s="2014"/>
      <c r="AA157" s="2014"/>
      <c r="AB157" s="2014"/>
      <c r="AC157" s="2177"/>
      <c r="AD157" s="2177"/>
      <c r="AE157" s="2177"/>
      <c r="AF157" s="2177"/>
      <c r="AG157" s="2014"/>
      <c r="AH157" s="2517"/>
      <c r="AI157" s="1426"/>
      <c r="AJ157" s="2518"/>
      <c r="AK157" s="1425"/>
    </row>
    <row r="158" spans="1:37" ht="14.25" customHeight="1">
      <c r="A158" s="2413"/>
      <c r="B158" s="2513"/>
      <c r="C158" s="2514"/>
      <c r="D158" s="2514"/>
      <c r="E158" s="2515"/>
      <c r="F158" s="2515"/>
      <c r="G158" s="2515"/>
      <c r="H158" s="2014"/>
      <c r="I158" s="2014"/>
      <c r="J158" s="1987"/>
      <c r="K158" s="2014"/>
      <c r="L158" s="2014"/>
      <c r="M158" s="2014"/>
      <c r="N158" s="2014"/>
      <c r="O158" s="2014"/>
      <c r="P158" s="2177"/>
      <c r="Q158" s="2014"/>
      <c r="R158" s="2014"/>
      <c r="S158" s="2014"/>
      <c r="T158" s="2014"/>
      <c r="U158" s="2014"/>
      <c r="V158" s="2014"/>
      <c r="W158" s="2014"/>
      <c r="X158" s="2014"/>
      <c r="Y158" s="2014"/>
      <c r="Z158" s="2014"/>
      <c r="AA158" s="2014"/>
      <c r="AB158" s="2014"/>
      <c r="AC158" s="2177"/>
      <c r="AD158" s="2177"/>
      <c r="AE158" s="2177"/>
      <c r="AF158" s="2177"/>
      <c r="AG158" s="2014"/>
      <c r="AH158" s="2517"/>
      <c r="AI158" s="1426"/>
      <c r="AJ158" s="2518"/>
      <c r="AK158" s="1425"/>
    </row>
    <row r="159" spans="1:37" ht="14.25" customHeight="1">
      <c r="A159" s="2413"/>
      <c r="B159" s="2513"/>
      <c r="C159" s="2514"/>
      <c r="D159" s="2514"/>
      <c r="E159" s="2515"/>
      <c r="F159" s="2515"/>
      <c r="G159" s="2515"/>
      <c r="H159" s="2014"/>
      <c r="I159" s="2014"/>
      <c r="J159" s="1987"/>
      <c r="K159" s="2014"/>
      <c r="L159" s="2014"/>
      <c r="M159" s="2014"/>
      <c r="N159" s="2014"/>
      <c r="O159" s="2014"/>
      <c r="P159" s="2177"/>
      <c r="Q159" s="2014"/>
      <c r="R159" s="2014"/>
      <c r="S159" s="2014"/>
      <c r="T159" s="2014"/>
      <c r="U159" s="2014"/>
      <c r="V159" s="2014"/>
      <c r="W159" s="2014"/>
      <c r="X159" s="2014"/>
      <c r="Y159" s="2014"/>
      <c r="Z159" s="2014"/>
      <c r="AA159" s="2014"/>
      <c r="AB159" s="2014"/>
      <c r="AC159" s="2177"/>
      <c r="AD159" s="2177"/>
      <c r="AE159" s="2177"/>
      <c r="AF159" s="2177"/>
      <c r="AG159" s="2014"/>
      <c r="AH159" s="2517"/>
      <c r="AI159" s="1426"/>
      <c r="AJ159" s="2518"/>
      <c r="AK159" s="1425"/>
    </row>
    <row r="160" spans="1:37" ht="14.25" customHeight="1">
      <c r="A160" s="2413"/>
      <c r="B160" s="2513"/>
      <c r="C160" s="2514"/>
      <c r="D160" s="2514"/>
      <c r="E160" s="2515"/>
      <c r="F160" s="2515"/>
      <c r="G160" s="2515"/>
      <c r="H160" s="2014"/>
      <c r="I160" s="2014"/>
      <c r="J160" s="1987"/>
      <c r="K160" s="2014"/>
      <c r="L160" s="2014"/>
      <c r="M160" s="2014"/>
      <c r="N160" s="2014"/>
      <c r="O160" s="2014"/>
      <c r="P160" s="2177"/>
      <c r="Q160" s="2014"/>
      <c r="R160" s="2014"/>
      <c r="S160" s="2014"/>
      <c r="T160" s="2014"/>
      <c r="U160" s="2014"/>
      <c r="V160" s="2014"/>
      <c r="W160" s="2014"/>
      <c r="X160" s="2014"/>
      <c r="Y160" s="2014"/>
      <c r="Z160" s="2014"/>
      <c r="AA160" s="2014"/>
      <c r="AB160" s="2014"/>
      <c r="AC160" s="2177"/>
      <c r="AD160" s="2177"/>
      <c r="AE160" s="2177"/>
      <c r="AF160" s="2177"/>
      <c r="AG160" s="2014"/>
      <c r="AH160" s="2517"/>
      <c r="AI160" s="1426"/>
      <c r="AJ160" s="2518"/>
      <c r="AK160" s="1425"/>
    </row>
    <row r="161" spans="1:38" ht="14.25" customHeight="1">
      <c r="A161" s="2413"/>
      <c r="B161" s="2513"/>
      <c r="C161" s="2514"/>
      <c r="D161" s="2514"/>
      <c r="E161" s="2515"/>
      <c r="F161" s="2515"/>
      <c r="G161" s="2515"/>
      <c r="H161" s="2014"/>
      <c r="I161" s="2014"/>
      <c r="J161" s="1987"/>
      <c r="K161" s="2014"/>
      <c r="L161" s="2014"/>
      <c r="M161" s="2014"/>
      <c r="N161" s="2014"/>
      <c r="O161" s="2014"/>
      <c r="P161" s="2177"/>
      <c r="Q161" s="2014"/>
      <c r="R161" s="2014"/>
      <c r="S161" s="2014"/>
      <c r="T161" s="2014"/>
      <c r="U161" s="2014"/>
      <c r="V161" s="2014"/>
      <c r="W161" s="2014"/>
      <c r="X161" s="2014"/>
      <c r="Y161" s="2014"/>
      <c r="Z161" s="2014"/>
      <c r="AA161" s="2014"/>
      <c r="AB161" s="2014"/>
      <c r="AC161" s="2177"/>
      <c r="AD161" s="2177"/>
      <c r="AE161" s="2177"/>
      <c r="AF161" s="2177"/>
      <c r="AG161" s="2014"/>
      <c r="AH161" s="2517"/>
      <c r="AI161" s="1426"/>
      <c r="AJ161" s="2518"/>
      <c r="AK161" s="1425"/>
    </row>
    <row r="162" spans="1:38" ht="14.25" customHeight="1">
      <c r="A162" s="2413"/>
      <c r="B162" s="2513"/>
      <c r="C162" s="2514"/>
      <c r="D162" s="2514"/>
      <c r="E162" s="2515"/>
      <c r="F162" s="2515"/>
      <c r="G162" s="2515"/>
      <c r="H162" s="2014"/>
      <c r="I162" s="2014"/>
      <c r="J162" s="1987"/>
      <c r="K162" s="2014"/>
      <c r="L162" s="2014"/>
      <c r="M162" s="2014"/>
      <c r="N162" s="2014"/>
      <c r="O162" s="2014"/>
      <c r="P162" s="2177"/>
      <c r="Q162" s="2014"/>
      <c r="R162" s="2014"/>
      <c r="S162" s="2014"/>
      <c r="T162" s="2014"/>
      <c r="U162" s="2014"/>
      <c r="V162" s="2014"/>
      <c r="W162" s="2014"/>
      <c r="X162" s="2014"/>
      <c r="Y162" s="2014"/>
      <c r="Z162" s="2014"/>
      <c r="AA162" s="2014"/>
      <c r="AB162" s="2014"/>
      <c r="AC162" s="2177"/>
      <c r="AD162" s="2177"/>
      <c r="AE162" s="2177"/>
      <c r="AF162" s="2177"/>
      <c r="AG162" s="2014"/>
      <c r="AH162" s="2517"/>
      <c r="AI162" s="1426"/>
      <c r="AJ162" s="2518"/>
      <c r="AK162" s="1425"/>
    </row>
    <row r="163" spans="1:38" ht="20.149999999999999" customHeight="1">
      <c r="A163" s="2413"/>
      <c r="B163" s="2490"/>
      <c r="C163" s="2014"/>
      <c r="D163" s="2014"/>
      <c r="E163" s="2014"/>
      <c r="F163" s="2014"/>
      <c r="G163" s="2014"/>
      <c r="H163" s="2014"/>
      <c r="I163" s="2014"/>
      <c r="J163" s="1987"/>
      <c r="K163" s="2014"/>
      <c r="L163" s="2014"/>
      <c r="M163" s="2014"/>
      <c r="N163" s="2014"/>
      <c r="O163" s="2014"/>
      <c r="P163" s="2177"/>
      <c r="Q163" s="2014"/>
      <c r="R163" s="2014"/>
      <c r="S163" s="2014"/>
      <c r="T163" s="2014"/>
      <c r="U163" s="2014"/>
      <c r="V163" s="2014"/>
      <c r="W163" s="2014"/>
      <c r="X163" s="2014"/>
      <c r="Y163" s="2014"/>
      <c r="Z163" s="2014"/>
      <c r="AA163" s="2014"/>
      <c r="AB163" s="2014"/>
      <c r="AC163" s="2177"/>
      <c r="AD163" s="2177"/>
      <c r="AE163" s="2177"/>
      <c r="AF163" s="2177"/>
      <c r="AG163" s="2014"/>
      <c r="AH163" s="2517"/>
      <c r="AI163" s="1426"/>
      <c r="AJ163" s="2518"/>
      <c r="AK163" s="1425"/>
    </row>
    <row r="164" spans="1:38" ht="20.149999999999999" customHeight="1">
      <c r="A164" s="2413"/>
      <c r="B164" s="2490"/>
      <c r="C164" s="2014"/>
      <c r="D164" s="2014"/>
      <c r="E164" s="2014"/>
      <c r="F164" s="2014"/>
      <c r="G164" s="2014"/>
      <c r="H164" s="2014"/>
      <c r="I164" s="2014"/>
      <c r="J164" s="1987"/>
      <c r="K164" s="2014"/>
      <c r="L164" s="2014"/>
      <c r="M164" s="2014"/>
      <c r="N164" s="2014"/>
      <c r="O164" s="2014"/>
      <c r="P164" s="2177"/>
      <c r="Q164" s="2014"/>
      <c r="R164" s="2014"/>
      <c r="S164" s="2014"/>
      <c r="T164" s="2014"/>
      <c r="U164" s="2014"/>
      <c r="V164" s="2014"/>
      <c r="W164" s="2014"/>
      <c r="X164" s="2014"/>
      <c r="Y164" s="2014"/>
      <c r="Z164" s="2014"/>
      <c r="AA164" s="2014"/>
      <c r="AB164" s="2014"/>
      <c r="AC164" s="2177"/>
      <c r="AD164" s="2177"/>
      <c r="AE164" s="2177"/>
      <c r="AF164" s="2177"/>
      <c r="AG164" s="2014"/>
      <c r="AH164" s="2517"/>
      <c r="AI164" s="1426"/>
      <c r="AJ164" s="2518"/>
      <c r="AK164" s="1425"/>
      <c r="AL164" s="2014"/>
    </row>
    <row r="165" spans="1:38" ht="20.149999999999999" customHeight="1">
      <c r="A165" s="2413"/>
      <c r="B165" s="2490"/>
      <c r="C165" s="2014"/>
      <c r="D165" s="2014"/>
      <c r="E165" s="2014"/>
      <c r="F165" s="2014"/>
      <c r="G165" s="2014"/>
      <c r="H165" s="2014"/>
      <c r="I165" s="2014"/>
      <c r="J165" s="1987"/>
      <c r="K165" s="2014"/>
      <c r="L165" s="2014"/>
      <c r="M165" s="2014"/>
      <c r="N165" s="2014"/>
      <c r="O165" s="2014"/>
      <c r="P165" s="2177"/>
      <c r="Q165" s="2014"/>
      <c r="R165" s="2014"/>
      <c r="S165" s="2014"/>
      <c r="T165" s="2014"/>
      <c r="U165" s="2014"/>
      <c r="V165" s="2014"/>
      <c r="W165" s="2014"/>
      <c r="X165" s="2014"/>
      <c r="Y165" s="2014"/>
      <c r="Z165" s="2014"/>
      <c r="AA165" s="2014"/>
      <c r="AB165" s="2014"/>
      <c r="AC165" s="2177"/>
      <c r="AD165" s="2177"/>
      <c r="AE165" s="2177"/>
      <c r="AF165" s="2177"/>
      <c r="AG165" s="2014"/>
      <c r="AH165" s="2517"/>
      <c r="AI165" s="1426"/>
      <c r="AJ165" s="2518"/>
      <c r="AK165" s="1425"/>
      <c r="AL165" s="2014"/>
    </row>
    <row r="166" spans="1:38" ht="20.149999999999999" customHeight="1">
      <c r="B166" s="2490"/>
      <c r="C166" s="2014"/>
      <c r="D166" s="2014"/>
      <c r="E166" s="2014"/>
      <c r="F166" s="2014"/>
      <c r="G166" s="2014"/>
      <c r="H166" s="2014"/>
      <c r="I166" s="2014"/>
      <c r="J166" s="1987"/>
      <c r="K166" s="2014"/>
      <c r="L166" s="2014"/>
      <c r="M166" s="2014"/>
      <c r="N166" s="2014"/>
      <c r="O166" s="2014"/>
      <c r="P166" s="2177"/>
      <c r="Q166" s="2014"/>
      <c r="R166" s="2014"/>
      <c r="S166" s="2014"/>
      <c r="T166" s="2014"/>
      <c r="U166" s="2014"/>
      <c r="V166" s="2014"/>
      <c r="W166" s="2014"/>
      <c r="X166" s="2014"/>
      <c r="Y166" s="2014"/>
      <c r="Z166" s="2014"/>
      <c r="AA166" s="2014"/>
      <c r="AB166" s="2014"/>
      <c r="AC166" s="2177"/>
      <c r="AD166" s="2177"/>
      <c r="AE166" s="2177"/>
      <c r="AF166" s="2177"/>
      <c r="AG166" s="2014"/>
      <c r="AH166" s="2014"/>
      <c r="AI166" s="1426"/>
      <c r="AJ166" s="2518"/>
      <c r="AK166" s="1425"/>
      <c r="AL166" s="2014"/>
    </row>
    <row r="167" spans="1:38" ht="20.149999999999999" customHeight="1">
      <c r="B167" s="2014"/>
      <c r="C167" s="2014"/>
      <c r="D167" s="2014"/>
      <c r="E167" s="2014"/>
      <c r="F167" s="2014"/>
      <c r="G167" s="2014"/>
      <c r="H167" s="2014"/>
      <c r="I167" s="2014"/>
      <c r="J167" s="1987"/>
      <c r="K167" s="2014"/>
      <c r="L167" s="2014"/>
      <c r="M167" s="2014"/>
      <c r="N167" s="2014"/>
      <c r="O167" s="2014"/>
      <c r="P167" s="2177"/>
      <c r="Q167" s="2014"/>
      <c r="R167" s="2014"/>
      <c r="S167" s="2014"/>
      <c r="T167" s="2014"/>
      <c r="U167" s="2014"/>
      <c r="V167" s="2014"/>
      <c r="W167" s="2014"/>
      <c r="X167" s="2014"/>
      <c r="Y167" s="2014"/>
      <c r="Z167" s="2014"/>
      <c r="AA167" s="2014"/>
      <c r="AB167" s="2014"/>
      <c r="AC167" s="2177"/>
      <c r="AD167" s="2177"/>
      <c r="AE167" s="2177"/>
      <c r="AF167" s="2177"/>
      <c r="AG167" s="2014"/>
      <c r="AH167" s="2014"/>
      <c r="AI167" s="1426"/>
      <c r="AJ167" s="2518"/>
      <c r="AK167" s="1425"/>
      <c r="AL167" s="2014"/>
    </row>
    <row r="168" spans="1:38" ht="20.149999999999999" customHeight="1">
      <c r="B168" s="2519"/>
      <c r="C168" s="2014"/>
      <c r="D168" s="2014"/>
      <c r="E168" s="2014"/>
      <c r="F168" s="2014"/>
      <c r="G168" s="2014"/>
      <c r="H168" s="2014"/>
      <c r="I168" s="2014"/>
      <c r="J168" s="1987"/>
      <c r="K168" s="2014"/>
      <c r="L168" s="2014"/>
      <c r="M168" s="2014"/>
      <c r="N168" s="2014"/>
      <c r="O168" s="2014"/>
      <c r="P168" s="2177"/>
      <c r="Q168" s="2014"/>
      <c r="R168" s="2014"/>
      <c r="S168" s="2014"/>
      <c r="T168" s="2014"/>
      <c r="U168" s="2014"/>
      <c r="V168" s="2014"/>
      <c r="W168" s="2014"/>
      <c r="X168" s="2014"/>
      <c r="Y168" s="2014"/>
      <c r="Z168" s="2014"/>
      <c r="AA168" s="2014"/>
      <c r="AB168" s="2014"/>
      <c r="AC168" s="2177"/>
      <c r="AD168" s="2177"/>
      <c r="AE168" s="2177"/>
      <c r="AF168" s="2177"/>
      <c r="AG168" s="2014"/>
      <c r="AI168" s="2017"/>
      <c r="AJ168" s="2452"/>
      <c r="AK168" s="1442"/>
      <c r="AL168" s="2014"/>
    </row>
    <row r="169" spans="1:38" ht="20.149999999999999" customHeight="1">
      <c r="B169" s="2014"/>
      <c r="C169" s="2014"/>
      <c r="D169" s="2014"/>
      <c r="E169" s="2014"/>
      <c r="F169" s="2014"/>
      <c r="G169" s="2014"/>
      <c r="H169" s="2014"/>
      <c r="I169" s="2014"/>
      <c r="J169" s="1987"/>
      <c r="K169" s="2014"/>
      <c r="L169" s="2014"/>
      <c r="M169" s="2014"/>
      <c r="N169" s="2014"/>
      <c r="O169" s="2014"/>
      <c r="P169" s="2177"/>
      <c r="Q169" s="2014"/>
      <c r="R169" s="2014"/>
      <c r="S169" s="2014"/>
      <c r="T169" s="2014"/>
      <c r="U169" s="2014"/>
      <c r="V169" s="2014"/>
      <c r="W169" s="2014"/>
      <c r="X169" s="2014"/>
      <c r="Y169" s="2014"/>
      <c r="Z169" s="2014"/>
      <c r="AA169" s="2014"/>
      <c r="AB169" s="2014"/>
      <c r="AC169" s="2177"/>
      <c r="AD169" s="2177"/>
      <c r="AE169" s="2177"/>
      <c r="AF169" s="2177"/>
      <c r="AG169" s="2014"/>
      <c r="AI169" s="2017"/>
      <c r="AJ169" s="2452"/>
      <c r="AK169" s="1442"/>
      <c r="AL169" s="2014"/>
    </row>
    <row r="170" spans="1:38" ht="20.149999999999999" customHeight="1">
      <c r="B170" s="2014"/>
      <c r="C170" s="2014"/>
      <c r="D170" s="2014"/>
      <c r="E170" s="2014"/>
      <c r="F170" s="2014"/>
      <c r="G170" s="2014"/>
      <c r="H170" s="2014"/>
      <c r="I170" s="2014"/>
      <c r="J170" s="1987"/>
      <c r="K170" s="2014"/>
      <c r="L170" s="2014"/>
      <c r="M170" s="2014"/>
      <c r="N170" s="2014"/>
      <c r="O170" s="2014"/>
      <c r="P170" s="2177"/>
      <c r="Q170" s="2014"/>
      <c r="R170" s="2014"/>
      <c r="S170" s="2014"/>
      <c r="T170" s="2014"/>
      <c r="U170" s="2014"/>
      <c r="V170" s="2014"/>
      <c r="W170" s="2014"/>
      <c r="X170" s="2014"/>
      <c r="Y170" s="2014"/>
      <c r="Z170" s="2014"/>
      <c r="AA170" s="2014"/>
      <c r="AB170" s="2014"/>
      <c r="AC170" s="2177"/>
      <c r="AD170" s="2177"/>
      <c r="AE170" s="2177"/>
      <c r="AF170" s="2177"/>
      <c r="AG170" s="2014"/>
      <c r="AI170" s="2017"/>
      <c r="AJ170" s="2452"/>
      <c r="AK170" s="1442"/>
      <c r="AL170" s="2014"/>
    </row>
    <row r="171" spans="1:38" ht="20.149999999999999" customHeight="1">
      <c r="B171" s="2017"/>
      <c r="C171" s="2017"/>
      <c r="D171" s="2017"/>
      <c r="E171" s="2017"/>
      <c r="F171" s="2017"/>
      <c r="G171" s="2017"/>
      <c r="H171" s="2017"/>
      <c r="I171" s="2017"/>
      <c r="J171" s="2414"/>
      <c r="K171" s="2017"/>
      <c r="L171" s="2017"/>
      <c r="M171" s="2017"/>
      <c r="N171" s="2017"/>
      <c r="O171" s="2017"/>
      <c r="P171" s="2184"/>
      <c r="Q171" s="2017"/>
      <c r="R171" s="2017"/>
      <c r="S171" s="2017"/>
      <c r="T171" s="2017"/>
      <c r="U171" s="2017"/>
      <c r="V171" s="2017"/>
      <c r="W171" s="2017"/>
      <c r="X171" s="2017"/>
      <c r="Y171" s="2017"/>
      <c r="Z171" s="2017"/>
      <c r="AA171" s="2017"/>
      <c r="AB171" s="2017"/>
      <c r="AC171" s="2184"/>
      <c r="AD171" s="2184"/>
      <c r="AE171" s="2184"/>
      <c r="AF171" s="2184"/>
      <c r="AG171" s="2017"/>
      <c r="AI171" s="2017"/>
      <c r="AJ171" s="2452"/>
      <c r="AK171" s="1442"/>
      <c r="AL171" s="2014"/>
    </row>
    <row r="172" spans="1:38" ht="20.149999999999999" customHeight="1">
      <c r="B172" s="2017"/>
      <c r="C172" s="2017"/>
      <c r="D172" s="2017"/>
      <c r="E172" s="2017"/>
      <c r="F172" s="2017"/>
      <c r="G172" s="2017"/>
      <c r="H172" s="2017"/>
      <c r="I172" s="2017"/>
      <c r="J172" s="2414"/>
      <c r="K172" s="2017"/>
      <c r="L172" s="2017"/>
      <c r="M172" s="2017"/>
      <c r="N172" s="2017"/>
      <c r="O172" s="2017"/>
      <c r="P172" s="2184"/>
      <c r="Q172" s="2017"/>
      <c r="R172" s="2017"/>
      <c r="S172" s="2017"/>
      <c r="T172" s="2017"/>
      <c r="U172" s="2017"/>
      <c r="V172" s="2017"/>
      <c r="W172" s="2017"/>
      <c r="X172" s="2017"/>
      <c r="Y172" s="2017"/>
      <c r="Z172" s="2017"/>
      <c r="AA172" s="2017"/>
      <c r="AB172" s="2017"/>
      <c r="AC172" s="2184"/>
      <c r="AD172" s="2184"/>
      <c r="AE172" s="2184"/>
      <c r="AF172" s="2184"/>
      <c r="AG172" s="2017"/>
    </row>
    <row r="173" spans="1:38" ht="20.149999999999999" customHeight="1">
      <c r="B173" s="2017"/>
      <c r="C173" s="2017"/>
      <c r="D173" s="2017"/>
      <c r="E173" s="2017"/>
      <c r="F173" s="2017"/>
      <c r="G173" s="2017"/>
      <c r="H173" s="2017"/>
      <c r="I173" s="2017"/>
      <c r="J173" s="2414"/>
      <c r="K173" s="2017"/>
      <c r="L173" s="2017"/>
      <c r="M173" s="2017"/>
      <c r="N173" s="2017"/>
      <c r="O173" s="2017"/>
      <c r="P173" s="2184"/>
      <c r="Q173" s="2017"/>
      <c r="R173" s="2017"/>
      <c r="S173" s="2017"/>
      <c r="T173" s="2017"/>
      <c r="U173" s="2017"/>
      <c r="V173" s="2017"/>
      <c r="W173" s="2017"/>
      <c r="X173" s="2017"/>
      <c r="Y173" s="2017"/>
      <c r="Z173" s="2017"/>
      <c r="AA173" s="2017"/>
      <c r="AB173" s="2017"/>
      <c r="AC173" s="2184"/>
      <c r="AD173" s="2184"/>
      <c r="AE173" s="2184"/>
      <c r="AF173" s="2184"/>
      <c r="AG173" s="2017"/>
    </row>
    <row r="174" spans="1:38" ht="20.149999999999999" customHeight="1">
      <c r="B174" s="2017"/>
      <c r="C174" s="2017"/>
      <c r="D174" s="2017"/>
      <c r="E174" s="2017"/>
      <c r="F174" s="2017"/>
      <c r="G174" s="2017"/>
      <c r="H174" s="2017"/>
      <c r="I174" s="2017"/>
      <c r="J174" s="2414"/>
      <c r="K174" s="2017"/>
      <c r="L174" s="2017"/>
      <c r="M174" s="2017"/>
      <c r="N174" s="2017"/>
      <c r="O174" s="2017"/>
      <c r="P174" s="2184"/>
      <c r="Q174" s="2017"/>
      <c r="R174" s="2017"/>
      <c r="S174" s="2017"/>
      <c r="T174" s="2017"/>
      <c r="U174" s="2017"/>
      <c r="V174" s="2017"/>
      <c r="W174" s="2017"/>
      <c r="X174" s="2017"/>
      <c r="Y174" s="2017"/>
      <c r="Z174" s="2017"/>
      <c r="AA174" s="2017"/>
      <c r="AB174" s="2017"/>
      <c r="AC174" s="2184"/>
      <c r="AD174" s="2184"/>
      <c r="AE174" s="2184"/>
      <c r="AF174" s="2184"/>
      <c r="AG174" s="2017"/>
    </row>
    <row r="175" spans="1:38" ht="20.149999999999999" customHeight="1">
      <c r="B175" s="2017"/>
      <c r="C175" s="2017"/>
      <c r="D175" s="2017"/>
      <c r="E175" s="2017"/>
      <c r="F175" s="2017"/>
      <c r="G175" s="2017"/>
      <c r="H175" s="2017"/>
      <c r="I175" s="2017"/>
      <c r="J175" s="2414"/>
      <c r="K175" s="2017"/>
      <c r="L175" s="2017"/>
      <c r="M175" s="2017"/>
      <c r="N175" s="2017"/>
      <c r="O175" s="2017"/>
      <c r="P175" s="2184"/>
      <c r="Q175" s="2017"/>
      <c r="R175" s="2017"/>
      <c r="S175" s="2017"/>
      <c r="T175" s="2017"/>
      <c r="U175" s="2017"/>
      <c r="V175" s="2017"/>
      <c r="W175" s="2017"/>
      <c r="X175" s="2017"/>
      <c r="Y175" s="2017"/>
      <c r="Z175" s="2017"/>
      <c r="AA175" s="2017"/>
      <c r="AB175" s="2017"/>
      <c r="AC175" s="2184"/>
      <c r="AD175" s="2184"/>
      <c r="AE175" s="2184"/>
      <c r="AF175" s="2184"/>
      <c r="AG175" s="2017"/>
    </row>
    <row r="176" spans="1:38">
      <c r="B176" s="2017"/>
      <c r="C176" s="2017"/>
      <c r="D176" s="2017"/>
      <c r="E176" s="2017"/>
      <c r="F176" s="2017"/>
      <c r="G176" s="2017"/>
      <c r="H176" s="2017"/>
      <c r="I176" s="2017"/>
      <c r="J176" s="2414"/>
      <c r="K176" s="2017"/>
      <c r="L176" s="2017"/>
      <c r="M176" s="2017"/>
      <c r="N176" s="2017"/>
      <c r="O176" s="2017"/>
      <c r="P176" s="2184"/>
      <c r="Q176" s="2017"/>
      <c r="R176" s="2017"/>
      <c r="S176" s="2017"/>
      <c r="T176" s="2017"/>
      <c r="U176" s="2017"/>
      <c r="V176" s="2017"/>
      <c r="W176" s="2017"/>
      <c r="X176" s="2017"/>
      <c r="Y176" s="2017"/>
      <c r="Z176" s="2017"/>
      <c r="AA176" s="2017"/>
      <c r="AB176" s="2017"/>
      <c r="AC176" s="2184"/>
      <c r="AD176" s="2184"/>
      <c r="AE176" s="2184"/>
      <c r="AF176" s="2184"/>
      <c r="AG176" s="2017"/>
    </row>
    <row r="177" spans="2:33">
      <c r="B177" s="2017"/>
      <c r="C177" s="2017"/>
      <c r="D177" s="2017"/>
      <c r="E177" s="2017"/>
      <c r="F177" s="2017"/>
      <c r="G177" s="2017"/>
      <c r="H177" s="2017"/>
      <c r="I177" s="2017"/>
      <c r="J177" s="2414"/>
      <c r="K177" s="2017"/>
      <c r="L177" s="2017"/>
      <c r="M177" s="2017"/>
      <c r="N177" s="2017"/>
      <c r="O177" s="2017"/>
      <c r="P177" s="2184"/>
      <c r="Q177" s="2017"/>
      <c r="R177" s="2017"/>
      <c r="S177" s="2017"/>
      <c r="T177" s="2017"/>
      <c r="U177" s="2017"/>
      <c r="V177" s="2017"/>
      <c r="W177" s="2017"/>
      <c r="X177" s="2017"/>
      <c r="Y177" s="2017"/>
      <c r="Z177" s="2017"/>
      <c r="AA177" s="2017"/>
      <c r="AB177" s="2017"/>
      <c r="AC177" s="2184"/>
      <c r="AD177" s="2184"/>
      <c r="AE177" s="2184"/>
      <c r="AF177" s="2184"/>
      <c r="AG177" s="2017"/>
    </row>
    <row r="178" spans="2:33">
      <c r="B178" s="2017"/>
      <c r="C178" s="2017"/>
      <c r="D178" s="2017"/>
      <c r="E178" s="2017"/>
      <c r="F178" s="2017"/>
      <c r="G178" s="2017"/>
      <c r="H178" s="2017"/>
      <c r="I178" s="2017"/>
      <c r="J178" s="2414"/>
      <c r="K178" s="2017"/>
      <c r="L178" s="2017"/>
      <c r="M178" s="2017"/>
      <c r="N178" s="2017"/>
      <c r="O178" s="2017"/>
      <c r="P178" s="2184"/>
      <c r="Q178" s="2017"/>
      <c r="R178" s="2017"/>
      <c r="S178" s="2017"/>
      <c r="T178" s="2017"/>
      <c r="U178" s="2017"/>
      <c r="V178" s="2017"/>
      <c r="W178" s="2017"/>
      <c r="X178" s="2017"/>
      <c r="Y178" s="2017"/>
      <c r="Z178" s="2017"/>
      <c r="AA178" s="2017"/>
      <c r="AB178" s="2017"/>
      <c r="AC178" s="2184"/>
      <c r="AD178" s="2184"/>
      <c r="AE178" s="2184"/>
      <c r="AF178" s="2184"/>
      <c r="AG178" s="2017"/>
    </row>
    <row r="179" spans="2:33">
      <c r="B179" s="2017"/>
      <c r="C179" s="2017"/>
      <c r="D179" s="2017"/>
      <c r="E179" s="2017"/>
      <c r="F179" s="2017"/>
      <c r="G179" s="2017"/>
      <c r="H179" s="2017"/>
      <c r="I179" s="2017"/>
      <c r="J179" s="2414"/>
      <c r="K179" s="2017"/>
      <c r="L179" s="2017"/>
      <c r="M179" s="2017"/>
      <c r="N179" s="2017"/>
      <c r="O179" s="2017"/>
      <c r="P179" s="2184"/>
      <c r="Q179" s="2017"/>
      <c r="R179" s="2017"/>
      <c r="S179" s="2017"/>
      <c r="T179" s="2017"/>
      <c r="U179" s="2017"/>
      <c r="V179" s="2017"/>
      <c r="W179" s="2017"/>
      <c r="X179" s="2017"/>
      <c r="Y179" s="2017"/>
      <c r="Z179" s="2017"/>
      <c r="AA179" s="2017"/>
      <c r="AB179" s="2017"/>
      <c r="AC179" s="2184"/>
      <c r="AD179" s="2184"/>
      <c r="AE179" s="2184"/>
      <c r="AF179" s="2184"/>
      <c r="AG179" s="2017"/>
    </row>
    <row r="180" spans="2:33">
      <c r="B180" s="2017"/>
      <c r="C180" s="2017"/>
      <c r="D180" s="2017"/>
      <c r="E180" s="2017"/>
      <c r="F180" s="2017"/>
      <c r="G180" s="2017"/>
      <c r="H180" s="2017"/>
      <c r="I180" s="2017"/>
      <c r="J180" s="2414"/>
      <c r="K180" s="2017"/>
      <c r="L180" s="2017"/>
      <c r="M180" s="2017"/>
      <c r="N180" s="2017"/>
      <c r="O180" s="2017"/>
      <c r="P180" s="2184"/>
      <c r="Q180" s="2017"/>
      <c r="R180" s="2017"/>
      <c r="S180" s="2017"/>
      <c r="T180" s="2017"/>
      <c r="U180" s="2017"/>
      <c r="V180" s="2017"/>
      <c r="W180" s="2017"/>
      <c r="X180" s="2017"/>
      <c r="Y180" s="2017"/>
      <c r="Z180" s="2017"/>
      <c r="AA180" s="2017"/>
      <c r="AB180" s="2017"/>
      <c r="AC180" s="2184"/>
      <c r="AD180" s="2184"/>
      <c r="AE180" s="2184"/>
      <c r="AF180" s="2184"/>
      <c r="AG180" s="2017"/>
    </row>
    <row r="181" spans="2:33">
      <c r="B181" s="2017"/>
      <c r="C181" s="2017"/>
      <c r="D181" s="2017"/>
      <c r="E181" s="2017"/>
      <c r="F181" s="2017"/>
      <c r="G181" s="2017"/>
      <c r="H181" s="2017"/>
      <c r="I181" s="2017"/>
      <c r="J181" s="2414"/>
      <c r="K181" s="2017"/>
      <c r="L181" s="2017"/>
      <c r="M181" s="2017"/>
      <c r="N181" s="2017"/>
      <c r="O181" s="2017"/>
      <c r="P181" s="2184"/>
      <c r="Q181" s="2017"/>
      <c r="R181" s="2017"/>
      <c r="S181" s="2017"/>
      <c r="T181" s="2017"/>
      <c r="U181" s="2017"/>
      <c r="V181" s="2017"/>
      <c r="W181" s="2017"/>
      <c r="X181" s="2017"/>
      <c r="Y181" s="2017"/>
      <c r="Z181" s="2017"/>
      <c r="AA181" s="2017"/>
      <c r="AB181" s="2017"/>
      <c r="AC181" s="2184"/>
      <c r="AD181" s="2184"/>
      <c r="AE181" s="2184"/>
      <c r="AF181" s="2184"/>
      <c r="AG181" s="2017"/>
    </row>
    <row r="182" spans="2:33">
      <c r="B182" s="2017"/>
      <c r="C182" s="2017"/>
      <c r="D182" s="2017"/>
      <c r="E182" s="2017"/>
      <c r="F182" s="2017"/>
      <c r="G182" s="2017"/>
      <c r="H182" s="2017"/>
      <c r="I182" s="2017"/>
      <c r="J182" s="2414"/>
      <c r="K182" s="2017"/>
      <c r="L182" s="2017"/>
      <c r="M182" s="2017"/>
      <c r="N182" s="2017"/>
      <c r="O182" s="2017"/>
      <c r="P182" s="2184"/>
      <c r="Q182" s="2017"/>
      <c r="R182" s="2017"/>
      <c r="S182" s="2017"/>
      <c r="T182" s="2017"/>
      <c r="U182" s="2017"/>
      <c r="V182" s="2017"/>
      <c r="W182" s="2017"/>
      <c r="X182" s="2017"/>
      <c r="Y182" s="2017"/>
      <c r="Z182" s="2017"/>
      <c r="AA182" s="2017"/>
      <c r="AB182" s="2017"/>
      <c r="AC182" s="2184"/>
      <c r="AD182" s="2184"/>
      <c r="AE182" s="2184"/>
      <c r="AF182" s="2184"/>
      <c r="AG182" s="2017"/>
    </row>
    <row r="183" spans="2:33">
      <c r="B183" s="2017"/>
      <c r="C183" s="2017"/>
      <c r="D183" s="2017"/>
      <c r="E183" s="2017"/>
      <c r="F183" s="2017"/>
      <c r="G183" s="2017"/>
      <c r="H183" s="2017"/>
      <c r="I183" s="2017"/>
      <c r="J183" s="2414"/>
      <c r="K183" s="2017"/>
      <c r="L183" s="2017"/>
      <c r="M183" s="2017"/>
      <c r="N183" s="2017"/>
      <c r="O183" s="2017"/>
      <c r="P183" s="2184"/>
      <c r="Q183" s="2017"/>
      <c r="R183" s="2017"/>
      <c r="S183" s="2017"/>
      <c r="T183" s="2017"/>
      <c r="U183" s="2017"/>
      <c r="V183" s="2017"/>
      <c r="W183" s="2017"/>
      <c r="X183" s="2017"/>
      <c r="Y183" s="2017"/>
      <c r="Z183" s="2017"/>
      <c r="AA183" s="2017"/>
      <c r="AB183" s="2017"/>
      <c r="AC183" s="2184"/>
      <c r="AD183" s="2184"/>
      <c r="AE183" s="2184"/>
      <c r="AF183" s="2184"/>
      <c r="AG183" s="2017"/>
    </row>
    <row r="184" spans="2:33">
      <c r="B184" s="2017"/>
      <c r="C184" s="2017"/>
      <c r="D184" s="2017"/>
      <c r="E184" s="2017"/>
      <c r="F184" s="2017"/>
      <c r="G184" s="2017"/>
      <c r="H184" s="2017"/>
      <c r="I184" s="2017"/>
      <c r="J184" s="2414"/>
      <c r="K184" s="2017"/>
      <c r="L184" s="2017"/>
      <c r="M184" s="2017"/>
      <c r="N184" s="2017"/>
      <c r="O184" s="2017"/>
      <c r="P184" s="2184"/>
      <c r="Q184" s="2017"/>
      <c r="R184" s="2017"/>
      <c r="S184" s="2017"/>
      <c r="T184" s="2017"/>
      <c r="U184" s="2017"/>
      <c r="V184" s="2017"/>
      <c r="W184" s="2017"/>
      <c r="X184" s="2017"/>
      <c r="Y184" s="2017"/>
      <c r="Z184" s="2017"/>
      <c r="AA184" s="2017"/>
      <c r="AB184" s="2017"/>
      <c r="AC184" s="2184"/>
      <c r="AD184" s="2184"/>
      <c r="AE184" s="2184"/>
      <c r="AF184" s="2184"/>
      <c r="AG184" s="2017"/>
    </row>
    <row r="185" spans="2:33">
      <c r="B185" s="2017"/>
      <c r="C185" s="2017"/>
      <c r="D185" s="2017"/>
      <c r="E185" s="2017"/>
      <c r="F185" s="2017"/>
      <c r="G185" s="2017"/>
      <c r="H185" s="2017"/>
      <c r="I185" s="2017"/>
      <c r="J185" s="2414"/>
      <c r="K185" s="2017"/>
      <c r="L185" s="2017"/>
      <c r="M185" s="2017"/>
      <c r="N185" s="2017"/>
      <c r="O185" s="2017"/>
      <c r="P185" s="2184"/>
      <c r="Q185" s="2017"/>
      <c r="R185" s="2017"/>
      <c r="S185" s="2017"/>
      <c r="T185" s="2017"/>
      <c r="U185" s="2017"/>
      <c r="V185" s="2017"/>
      <c r="W185" s="2017"/>
      <c r="X185" s="2017"/>
      <c r="Y185" s="2017"/>
      <c r="Z185" s="2017"/>
      <c r="AA185" s="2017"/>
      <c r="AB185" s="2017"/>
      <c r="AC185" s="2184"/>
      <c r="AD185" s="2184"/>
      <c r="AE185" s="2184"/>
      <c r="AF185" s="2184"/>
      <c r="AG185" s="2017"/>
    </row>
    <row r="186" spans="2:33">
      <c r="B186" s="2017"/>
      <c r="C186" s="2017"/>
      <c r="D186" s="2017"/>
      <c r="E186" s="2017"/>
      <c r="F186" s="2017"/>
      <c r="G186" s="2017"/>
      <c r="H186" s="2017"/>
      <c r="I186" s="2017"/>
      <c r="J186" s="2414"/>
      <c r="K186" s="2017"/>
      <c r="L186" s="2017"/>
      <c r="M186" s="2017"/>
      <c r="N186" s="2017"/>
      <c r="O186" s="2017"/>
      <c r="P186" s="2184"/>
      <c r="Q186" s="2017"/>
      <c r="R186" s="2017"/>
      <c r="S186" s="2017"/>
      <c r="T186" s="2017"/>
      <c r="U186" s="2017"/>
      <c r="V186" s="2017"/>
      <c r="W186" s="2017"/>
      <c r="X186" s="2017"/>
      <c r="Y186" s="2017"/>
      <c r="Z186" s="2017"/>
      <c r="AA186" s="2017"/>
      <c r="AB186" s="2017"/>
      <c r="AC186" s="2184"/>
      <c r="AD186" s="2184"/>
      <c r="AE186" s="2184"/>
      <c r="AF186" s="2184"/>
      <c r="AG186" s="2017"/>
    </row>
    <row r="187" spans="2:33">
      <c r="B187" s="2017"/>
      <c r="C187" s="2017"/>
      <c r="D187" s="2017"/>
      <c r="E187" s="2017"/>
      <c r="F187" s="2017"/>
      <c r="G187" s="2017"/>
      <c r="H187" s="2017"/>
      <c r="I187" s="2017"/>
      <c r="J187" s="2414"/>
      <c r="K187" s="2017"/>
      <c r="L187" s="2017"/>
      <c r="M187" s="2017"/>
      <c r="N187" s="2017"/>
      <c r="O187" s="2017"/>
      <c r="P187" s="2184"/>
      <c r="Q187" s="2017"/>
      <c r="R187" s="2017"/>
      <c r="S187" s="2017"/>
      <c r="T187" s="2017"/>
      <c r="U187" s="2017"/>
      <c r="V187" s="2017"/>
      <c r="W187" s="2017"/>
      <c r="X187" s="2017"/>
      <c r="Y187" s="2017"/>
      <c r="Z187" s="2017"/>
      <c r="AA187" s="2017"/>
      <c r="AB187" s="2017"/>
      <c r="AC187" s="2184"/>
      <c r="AD187" s="2184"/>
      <c r="AE187" s="2184"/>
      <c r="AF187" s="2184"/>
      <c r="AG187" s="2017"/>
    </row>
    <row r="188" spans="2:33">
      <c r="B188" s="2017"/>
      <c r="C188" s="2017"/>
      <c r="D188" s="2017"/>
      <c r="E188" s="2017"/>
      <c r="F188" s="2017"/>
      <c r="G188" s="2017"/>
      <c r="H188" s="2017"/>
      <c r="I188" s="2017"/>
      <c r="J188" s="2414"/>
      <c r="K188" s="2017"/>
      <c r="L188" s="2017"/>
      <c r="M188" s="2017"/>
      <c r="N188" s="2017"/>
      <c r="O188" s="2017"/>
      <c r="P188" s="2184"/>
      <c r="Q188" s="2017"/>
      <c r="R188" s="2017"/>
      <c r="S188" s="2017"/>
      <c r="T188" s="2017"/>
      <c r="U188" s="2017"/>
      <c r="V188" s="2017"/>
      <c r="W188" s="2017"/>
      <c r="X188" s="2017"/>
      <c r="Y188" s="2017"/>
      <c r="Z188" s="2017"/>
      <c r="AA188" s="2017"/>
      <c r="AB188" s="2017"/>
      <c r="AC188" s="2184"/>
      <c r="AD188" s="2184"/>
      <c r="AE188" s="2184"/>
      <c r="AF188" s="2184"/>
      <c r="AG188" s="2017"/>
    </row>
    <row r="189" spans="2:33">
      <c r="B189" s="2017"/>
      <c r="C189" s="2017"/>
      <c r="D189" s="2017"/>
      <c r="E189" s="2017"/>
      <c r="F189" s="2017"/>
      <c r="G189" s="2017"/>
      <c r="H189" s="2017"/>
      <c r="I189" s="2017"/>
      <c r="J189" s="2414"/>
      <c r="K189" s="2017"/>
      <c r="L189" s="2017"/>
      <c r="M189" s="2017"/>
      <c r="N189" s="2017"/>
      <c r="O189" s="2017"/>
      <c r="P189" s="2184"/>
      <c r="Q189" s="2017"/>
      <c r="R189" s="2017"/>
      <c r="S189" s="2017"/>
      <c r="T189" s="2017"/>
      <c r="U189" s="2017"/>
      <c r="V189" s="2017"/>
      <c r="W189" s="2017"/>
      <c r="X189" s="2017"/>
      <c r="Y189" s="2017"/>
      <c r="Z189" s="2017"/>
      <c r="AA189" s="2017"/>
      <c r="AB189" s="2017"/>
      <c r="AC189" s="2184"/>
      <c r="AD189" s="2184"/>
      <c r="AE189" s="2184"/>
      <c r="AF189" s="2184"/>
      <c r="AG189" s="2017"/>
    </row>
    <row r="190" spans="2:33">
      <c r="B190" s="2017"/>
      <c r="C190" s="2017"/>
      <c r="D190" s="2017"/>
      <c r="E190" s="2017"/>
      <c r="F190" s="2017"/>
      <c r="G190" s="2017"/>
      <c r="H190" s="2017"/>
      <c r="I190" s="2017"/>
      <c r="J190" s="2414"/>
      <c r="K190" s="2017"/>
      <c r="L190" s="2017"/>
      <c r="M190" s="2017"/>
      <c r="N190" s="2017"/>
      <c r="O190" s="2017"/>
      <c r="P190" s="2184"/>
      <c r="Q190" s="2017"/>
      <c r="R190" s="2017"/>
      <c r="S190" s="2017"/>
      <c r="T190" s="2017"/>
      <c r="U190" s="2017"/>
      <c r="V190" s="2017"/>
      <c r="W190" s="2017"/>
      <c r="X190" s="2017"/>
      <c r="Y190" s="2017"/>
      <c r="Z190" s="2017"/>
      <c r="AA190" s="2017"/>
      <c r="AB190" s="2017"/>
      <c r="AC190" s="2184"/>
      <c r="AD190" s="2184"/>
      <c r="AE190" s="2184"/>
      <c r="AF190" s="2184"/>
      <c r="AG190" s="2017"/>
    </row>
    <row r="191" spans="2:33">
      <c r="B191" s="2017"/>
      <c r="C191" s="2017"/>
      <c r="D191" s="2017"/>
      <c r="E191" s="2017"/>
      <c r="F191" s="2017"/>
      <c r="G191" s="2017"/>
      <c r="H191" s="2017"/>
      <c r="I191" s="2017"/>
      <c r="J191" s="2414"/>
      <c r="K191" s="2017"/>
      <c r="L191" s="2017"/>
      <c r="M191" s="2017"/>
      <c r="N191" s="2017"/>
      <c r="O191" s="2017"/>
      <c r="P191" s="2184"/>
      <c r="Q191" s="2017"/>
      <c r="R191" s="2017"/>
      <c r="S191" s="2017"/>
      <c r="T191" s="2017"/>
      <c r="U191" s="2017"/>
      <c r="V191" s="2017"/>
      <c r="W191" s="2017"/>
      <c r="X191" s="2017"/>
      <c r="Y191" s="2017"/>
      <c r="Z191" s="2017"/>
      <c r="AA191" s="2017"/>
      <c r="AB191" s="2017"/>
      <c r="AC191" s="2184"/>
      <c r="AD191" s="2184"/>
      <c r="AE191" s="2184"/>
      <c r="AF191" s="2184"/>
      <c r="AG191" s="2017"/>
    </row>
    <row r="192" spans="2:33">
      <c r="B192" s="2017"/>
      <c r="C192" s="2017"/>
      <c r="D192" s="2017"/>
      <c r="E192" s="2017"/>
      <c r="F192" s="2017"/>
      <c r="G192" s="2017"/>
      <c r="H192" s="2017"/>
      <c r="I192" s="2017"/>
      <c r="J192" s="2414"/>
      <c r="K192" s="2017"/>
      <c r="L192" s="2017"/>
      <c r="M192" s="2017"/>
      <c r="N192" s="2017"/>
      <c r="O192" s="2017"/>
      <c r="P192" s="2184"/>
      <c r="Q192" s="2017"/>
      <c r="R192" s="2017"/>
      <c r="S192" s="2017"/>
      <c r="T192" s="2017"/>
      <c r="U192" s="2017"/>
      <c r="V192" s="2017"/>
      <c r="W192" s="2017"/>
      <c r="X192" s="2017"/>
      <c r="Y192" s="2017"/>
      <c r="Z192" s="2017"/>
      <c r="AA192" s="2017"/>
      <c r="AB192" s="2017"/>
      <c r="AC192" s="2184"/>
      <c r="AD192" s="2184"/>
      <c r="AE192" s="2184"/>
      <c r="AF192" s="2184"/>
      <c r="AG192" s="2017"/>
    </row>
    <row r="193" spans="2:33">
      <c r="B193" s="2017"/>
      <c r="C193" s="2017"/>
      <c r="D193" s="2017"/>
      <c r="E193" s="2017"/>
      <c r="F193" s="2017"/>
      <c r="G193" s="2017"/>
      <c r="H193" s="2017"/>
      <c r="I193" s="2017"/>
      <c r="J193" s="2414"/>
      <c r="K193" s="2017"/>
      <c r="L193" s="2017"/>
      <c r="M193" s="2017"/>
      <c r="N193" s="2017"/>
      <c r="O193" s="2017"/>
      <c r="P193" s="2184"/>
      <c r="Q193" s="2017"/>
      <c r="R193" s="2017"/>
      <c r="S193" s="2017"/>
      <c r="T193" s="2017"/>
      <c r="U193" s="2017"/>
      <c r="V193" s="2017"/>
      <c r="W193" s="2017"/>
      <c r="X193" s="2017"/>
      <c r="Y193" s="2017"/>
      <c r="Z193" s="2017"/>
      <c r="AA193" s="2017"/>
      <c r="AB193" s="2017"/>
      <c r="AC193" s="2184"/>
      <c r="AD193" s="2184"/>
      <c r="AE193" s="2184"/>
      <c r="AF193" s="2184"/>
      <c r="AG193" s="2017"/>
    </row>
    <row r="194" spans="2:33">
      <c r="B194" s="2017"/>
      <c r="C194" s="2017"/>
      <c r="D194" s="2017"/>
      <c r="E194" s="2017"/>
      <c r="F194" s="2017"/>
      <c r="G194" s="2017"/>
      <c r="H194" s="2017"/>
      <c r="I194" s="2017"/>
      <c r="J194" s="2414"/>
      <c r="K194" s="2017"/>
      <c r="L194" s="2017"/>
      <c r="M194" s="2017"/>
      <c r="N194" s="2017"/>
      <c r="O194" s="2017"/>
      <c r="P194" s="2184"/>
      <c r="Q194" s="2017"/>
      <c r="R194" s="2017"/>
      <c r="S194" s="2017"/>
      <c r="T194" s="2017"/>
      <c r="U194" s="2017"/>
      <c r="V194" s="2017"/>
      <c r="W194" s="2017"/>
      <c r="X194" s="2017"/>
      <c r="Y194" s="2017"/>
      <c r="Z194" s="2017"/>
      <c r="AA194" s="2017"/>
      <c r="AB194" s="2017"/>
      <c r="AC194" s="2184"/>
      <c r="AD194" s="2184"/>
      <c r="AE194" s="2184"/>
      <c r="AF194" s="2184"/>
      <c r="AG194" s="2017"/>
    </row>
    <row r="195" spans="2:33">
      <c r="B195" s="2017"/>
      <c r="C195" s="2017"/>
      <c r="D195" s="2017"/>
      <c r="E195" s="2017"/>
      <c r="F195" s="2017"/>
      <c r="G195" s="2017"/>
      <c r="H195" s="2017"/>
      <c r="I195" s="2017"/>
      <c r="J195" s="2414"/>
      <c r="K195" s="2017"/>
      <c r="L195" s="2017"/>
      <c r="M195" s="2017"/>
      <c r="N195" s="2017"/>
      <c r="O195" s="2017"/>
      <c r="P195" s="2184"/>
      <c r="Q195" s="2017"/>
      <c r="R195" s="2017"/>
      <c r="S195" s="2017"/>
      <c r="T195" s="2017"/>
      <c r="U195" s="2017"/>
      <c r="V195" s="2017"/>
      <c r="W195" s="2017"/>
      <c r="X195" s="2017"/>
      <c r="Y195" s="2017"/>
      <c r="Z195" s="2017"/>
      <c r="AA195" s="2017"/>
      <c r="AB195" s="2017"/>
      <c r="AC195" s="2184"/>
      <c r="AD195" s="2184"/>
      <c r="AE195" s="2184"/>
      <c r="AF195" s="2184"/>
      <c r="AG195" s="2017"/>
    </row>
    <row r="196" spans="2:33">
      <c r="B196" s="2017"/>
      <c r="C196" s="2017"/>
      <c r="D196" s="2017"/>
      <c r="E196" s="2017"/>
      <c r="F196" s="2017"/>
      <c r="G196" s="2017"/>
      <c r="H196" s="2017"/>
      <c r="I196" s="2017"/>
      <c r="J196" s="2414"/>
      <c r="K196" s="2017"/>
      <c r="L196" s="2017"/>
      <c r="M196" s="2017"/>
      <c r="N196" s="2017"/>
      <c r="O196" s="2017"/>
      <c r="P196" s="2184"/>
      <c r="Q196" s="2017"/>
      <c r="R196" s="2017"/>
      <c r="S196" s="2017"/>
      <c r="T196" s="2017"/>
      <c r="U196" s="2017"/>
      <c r="V196" s="2017"/>
      <c r="W196" s="2017"/>
      <c r="X196" s="2017"/>
      <c r="Y196" s="2017"/>
      <c r="Z196" s="2017"/>
      <c r="AA196" s="2017"/>
      <c r="AB196" s="2017"/>
      <c r="AC196" s="2184"/>
      <c r="AD196" s="2184"/>
      <c r="AE196" s="2184"/>
      <c r="AF196" s="2184"/>
      <c r="AG196" s="2017"/>
    </row>
    <row r="197" spans="2:33">
      <c r="B197" s="2017"/>
      <c r="C197" s="2017"/>
      <c r="D197" s="2017"/>
      <c r="E197" s="2017"/>
      <c r="F197" s="2017"/>
      <c r="G197" s="2017"/>
      <c r="H197" s="2017"/>
      <c r="I197" s="2017"/>
      <c r="J197" s="2414"/>
      <c r="K197" s="2017"/>
      <c r="L197" s="2017"/>
      <c r="M197" s="2017"/>
      <c r="N197" s="2017"/>
      <c r="O197" s="2017"/>
      <c r="P197" s="2184"/>
      <c r="Q197" s="2017"/>
      <c r="R197" s="2017"/>
      <c r="S197" s="2017"/>
      <c r="T197" s="2017"/>
      <c r="U197" s="2017"/>
      <c r="V197" s="2017"/>
      <c r="W197" s="2017"/>
      <c r="X197" s="2017"/>
      <c r="Y197" s="2017"/>
      <c r="Z197" s="2017"/>
      <c r="AA197" s="2017"/>
      <c r="AB197" s="2017"/>
      <c r="AC197" s="2184"/>
      <c r="AD197" s="2184"/>
      <c r="AE197" s="2184"/>
      <c r="AF197" s="2184"/>
      <c r="AG197" s="2017"/>
    </row>
    <row r="198" spans="2:33">
      <c r="B198" s="2017"/>
      <c r="C198" s="2017"/>
      <c r="D198" s="2017"/>
      <c r="E198" s="2017"/>
      <c r="F198" s="2017"/>
      <c r="G198" s="2017"/>
      <c r="H198" s="2017"/>
      <c r="I198" s="2017"/>
      <c r="J198" s="2414"/>
      <c r="K198" s="2017"/>
      <c r="L198" s="2017"/>
      <c r="M198" s="2017"/>
      <c r="N198" s="2017"/>
      <c r="O198" s="2017"/>
      <c r="P198" s="2184"/>
      <c r="Q198" s="2017"/>
      <c r="R198" s="2017"/>
      <c r="S198" s="2017"/>
      <c r="T198" s="2017"/>
      <c r="U198" s="2017"/>
      <c r="V198" s="2017"/>
      <c r="W198" s="2017"/>
      <c r="X198" s="2017"/>
      <c r="Y198" s="2017"/>
      <c r="Z198" s="2017"/>
      <c r="AA198" s="2017"/>
      <c r="AB198" s="2017"/>
      <c r="AC198" s="2184"/>
      <c r="AD198" s="2184"/>
      <c r="AE198" s="2184"/>
      <c r="AF198" s="2184"/>
      <c r="AG198" s="2017"/>
    </row>
    <row r="199" spans="2:33">
      <c r="B199" s="2017"/>
      <c r="C199" s="2017"/>
      <c r="D199" s="2017"/>
      <c r="E199" s="2017"/>
      <c r="F199" s="2017"/>
      <c r="G199" s="2017"/>
      <c r="H199" s="2017"/>
      <c r="I199" s="2017"/>
      <c r="J199" s="2414"/>
      <c r="K199" s="2017"/>
      <c r="L199" s="2017"/>
      <c r="M199" s="2017"/>
      <c r="N199" s="2017"/>
      <c r="O199" s="2017"/>
      <c r="P199" s="2184"/>
      <c r="Q199" s="2017"/>
      <c r="R199" s="2017"/>
      <c r="S199" s="2017"/>
      <c r="T199" s="2017"/>
      <c r="U199" s="2017"/>
      <c r="V199" s="2017"/>
      <c r="W199" s="2017"/>
      <c r="X199" s="2017"/>
      <c r="Y199" s="2017"/>
      <c r="Z199" s="2017"/>
      <c r="AA199" s="2017"/>
      <c r="AB199" s="2017"/>
      <c r="AC199" s="2184"/>
      <c r="AD199" s="2184"/>
      <c r="AE199" s="2184"/>
      <c r="AF199" s="2184"/>
      <c r="AG199" s="2017"/>
    </row>
    <row r="200" spans="2:33">
      <c r="B200" s="2017"/>
      <c r="C200" s="2017"/>
      <c r="D200" s="2017"/>
      <c r="E200" s="2017"/>
      <c r="F200" s="2017"/>
      <c r="G200" s="2017"/>
      <c r="H200" s="2017"/>
      <c r="I200" s="2017"/>
      <c r="J200" s="2414"/>
      <c r="K200" s="2017"/>
      <c r="L200" s="2017"/>
      <c r="M200" s="2017"/>
      <c r="N200" s="2017"/>
      <c r="O200" s="2017"/>
      <c r="P200" s="2184"/>
      <c r="Q200" s="2017"/>
      <c r="R200" s="2017"/>
      <c r="S200" s="2017"/>
      <c r="T200" s="2017"/>
      <c r="U200" s="2017"/>
      <c r="V200" s="2017"/>
      <c r="W200" s="2017"/>
      <c r="X200" s="2017"/>
      <c r="Y200" s="2017"/>
      <c r="Z200" s="2017"/>
      <c r="AA200" s="2017"/>
      <c r="AB200" s="2017"/>
      <c r="AC200" s="2184"/>
      <c r="AD200" s="2184"/>
      <c r="AE200" s="2184"/>
      <c r="AF200" s="2184"/>
      <c r="AG200" s="2017"/>
    </row>
    <row r="201" spans="2:33">
      <c r="B201" s="2017"/>
      <c r="C201" s="2017"/>
      <c r="D201" s="2017"/>
      <c r="E201" s="2017"/>
      <c r="F201" s="2017"/>
      <c r="G201" s="2017"/>
      <c r="H201" s="2017"/>
      <c r="I201" s="2017"/>
      <c r="J201" s="2414"/>
      <c r="K201" s="2017"/>
      <c r="L201" s="2017"/>
      <c r="M201" s="2017"/>
      <c r="N201" s="2017"/>
      <c r="O201" s="2017"/>
      <c r="P201" s="2184"/>
      <c r="Q201" s="2017"/>
      <c r="R201" s="2017"/>
      <c r="S201" s="2017"/>
      <c r="T201" s="2017"/>
      <c r="U201" s="2017"/>
      <c r="V201" s="2017"/>
      <c r="W201" s="2017"/>
      <c r="X201" s="2017"/>
      <c r="Y201" s="2017"/>
      <c r="Z201" s="2017"/>
      <c r="AA201" s="2017"/>
      <c r="AB201" s="2017"/>
      <c r="AC201" s="2184"/>
      <c r="AD201" s="2184"/>
      <c r="AE201" s="2184"/>
      <c r="AF201" s="2184"/>
      <c r="AG201" s="2017"/>
    </row>
    <row r="202" spans="2:33">
      <c r="B202" s="2017"/>
      <c r="C202" s="2017"/>
      <c r="D202" s="2017"/>
      <c r="E202" s="2017"/>
      <c r="F202" s="2017"/>
      <c r="G202" s="2017"/>
      <c r="H202" s="2017"/>
      <c r="I202" s="2017"/>
      <c r="J202" s="2414"/>
      <c r="K202" s="2017"/>
      <c r="L202" s="2017"/>
      <c r="M202" s="2017"/>
      <c r="N202" s="2017"/>
      <c r="O202" s="2017"/>
      <c r="P202" s="2184"/>
      <c r="Q202" s="2017"/>
      <c r="R202" s="2017"/>
      <c r="S202" s="2017"/>
      <c r="T202" s="2017"/>
      <c r="U202" s="2017"/>
      <c r="V202" s="2017"/>
      <c r="W202" s="2017"/>
      <c r="X202" s="2017"/>
      <c r="Y202" s="2017"/>
      <c r="Z202" s="2017"/>
      <c r="AA202" s="2017"/>
      <c r="AB202" s="2017"/>
      <c r="AC202" s="2184"/>
      <c r="AD202" s="2184"/>
      <c r="AE202" s="2184"/>
      <c r="AF202" s="2184"/>
      <c r="AG202" s="2017"/>
    </row>
    <row r="203" spans="2:33">
      <c r="B203" s="2017"/>
      <c r="C203" s="2017"/>
      <c r="D203" s="2017"/>
      <c r="E203" s="2017"/>
      <c r="F203" s="2017"/>
      <c r="G203" s="2017"/>
      <c r="H203" s="2017"/>
      <c r="I203" s="2017"/>
      <c r="J203" s="2414"/>
      <c r="K203" s="2017"/>
      <c r="L203" s="2017"/>
      <c r="M203" s="2017"/>
      <c r="N203" s="2017"/>
      <c r="O203" s="2017"/>
      <c r="P203" s="2184"/>
      <c r="Q203" s="2017"/>
      <c r="R203" s="2017"/>
      <c r="S203" s="2017"/>
      <c r="T203" s="2017"/>
      <c r="U203" s="2017"/>
      <c r="V203" s="2017"/>
      <c r="W203" s="2017"/>
      <c r="X203" s="2017"/>
      <c r="Y203" s="2017"/>
      <c r="Z203" s="2017"/>
      <c r="AA203" s="2017"/>
      <c r="AB203" s="2017"/>
      <c r="AC203" s="2184"/>
      <c r="AD203" s="2184"/>
      <c r="AE203" s="2184"/>
      <c r="AF203" s="2184"/>
      <c r="AG203" s="2017"/>
    </row>
    <row r="204" spans="2:33">
      <c r="B204" s="2017"/>
      <c r="C204" s="2017"/>
      <c r="D204" s="2017"/>
      <c r="E204" s="2017"/>
      <c r="F204" s="2017"/>
      <c r="G204" s="2017"/>
      <c r="H204" s="2017"/>
      <c r="I204" s="2017"/>
      <c r="J204" s="2414"/>
      <c r="K204" s="2017"/>
      <c r="L204" s="2017"/>
      <c r="M204" s="2017"/>
      <c r="N204" s="2017"/>
      <c r="O204" s="2017"/>
      <c r="P204" s="2184"/>
      <c r="Q204" s="2017"/>
      <c r="R204" s="2017"/>
      <c r="S204" s="2017"/>
      <c r="T204" s="2017"/>
      <c r="U204" s="2017"/>
      <c r="V204" s="2017"/>
      <c r="W204" s="2017"/>
      <c r="X204" s="2017"/>
      <c r="Y204" s="2017"/>
      <c r="Z204" s="2017"/>
      <c r="AA204" s="2017"/>
      <c r="AB204" s="2017"/>
      <c r="AC204" s="2184"/>
      <c r="AD204" s="2184"/>
      <c r="AE204" s="2184"/>
      <c r="AF204" s="2184"/>
      <c r="AG204" s="2017"/>
    </row>
    <row r="205" spans="2:33">
      <c r="B205" s="2017"/>
      <c r="C205" s="2017"/>
      <c r="D205" s="2017"/>
      <c r="E205" s="2017"/>
      <c r="F205" s="2017"/>
      <c r="G205" s="2017"/>
      <c r="H205" s="2017"/>
      <c r="I205" s="2017"/>
      <c r="J205" s="2414"/>
      <c r="K205" s="2017"/>
      <c r="L205" s="2017"/>
      <c r="M205" s="2017"/>
      <c r="N205" s="2017"/>
      <c r="O205" s="2017"/>
      <c r="P205" s="2184"/>
      <c r="Q205" s="2017"/>
      <c r="R205" s="2017"/>
      <c r="S205" s="2017"/>
      <c r="T205" s="2017"/>
      <c r="U205" s="2017"/>
      <c r="V205" s="2017"/>
      <c r="W205" s="2017"/>
      <c r="X205" s="2017"/>
      <c r="Y205" s="2017"/>
      <c r="Z205" s="2017"/>
      <c r="AA205" s="2017"/>
      <c r="AB205" s="2017"/>
      <c r="AC205" s="2184"/>
      <c r="AD205" s="2184"/>
      <c r="AE205" s="2184"/>
      <c r="AF205" s="2184"/>
      <c r="AG205" s="2017"/>
    </row>
    <row r="206" spans="2:33">
      <c r="B206" s="2017"/>
      <c r="C206" s="2017"/>
      <c r="D206" s="2017"/>
      <c r="E206" s="2017"/>
      <c r="F206" s="2017"/>
      <c r="G206" s="2017"/>
      <c r="H206" s="2017"/>
      <c r="I206" s="2017"/>
      <c r="J206" s="2414"/>
      <c r="K206" s="2017"/>
      <c r="L206" s="2017"/>
      <c r="M206" s="2017"/>
      <c r="N206" s="2017"/>
      <c r="O206" s="2017"/>
      <c r="P206" s="2184"/>
      <c r="Q206" s="2017"/>
      <c r="R206" s="2017"/>
      <c r="S206" s="2017"/>
      <c r="T206" s="2017"/>
      <c r="U206" s="2017"/>
      <c r="V206" s="2017"/>
      <c r="W206" s="2017"/>
      <c r="X206" s="2017"/>
      <c r="Y206" s="2017"/>
      <c r="Z206" s="2017"/>
      <c r="AA206" s="2017"/>
      <c r="AB206" s="2017"/>
      <c r="AC206" s="2184"/>
      <c r="AD206" s="2184"/>
      <c r="AE206" s="2184"/>
      <c r="AF206" s="2184"/>
      <c r="AG206" s="2017"/>
    </row>
    <row r="207" spans="2:33">
      <c r="B207" s="2017"/>
      <c r="C207" s="2017"/>
      <c r="D207" s="2017"/>
      <c r="E207" s="2017"/>
      <c r="F207" s="2017"/>
      <c r="G207" s="2017"/>
      <c r="H207" s="2017"/>
      <c r="I207" s="2017"/>
      <c r="J207" s="2414"/>
      <c r="K207" s="2017"/>
      <c r="L207" s="2017"/>
      <c r="M207" s="2017"/>
      <c r="N207" s="2017"/>
      <c r="O207" s="2017"/>
      <c r="P207" s="2184"/>
      <c r="Q207" s="2017"/>
      <c r="R207" s="2017"/>
      <c r="S207" s="2017"/>
      <c r="T207" s="2017"/>
      <c r="U207" s="2017"/>
      <c r="V207" s="2017"/>
      <c r="W207" s="2017"/>
      <c r="X207" s="2017"/>
      <c r="Y207" s="2017"/>
      <c r="Z207" s="2017"/>
      <c r="AA207" s="2017"/>
      <c r="AB207" s="2017"/>
      <c r="AC207" s="2184"/>
      <c r="AD207" s="2184"/>
      <c r="AE207" s="2184"/>
      <c r="AF207" s="2184"/>
      <c r="AG207" s="2017"/>
    </row>
    <row r="208" spans="2:33">
      <c r="B208" s="2017"/>
      <c r="C208" s="2017"/>
      <c r="D208" s="2017"/>
      <c r="E208" s="2017"/>
      <c r="F208" s="2017"/>
      <c r="G208" s="2017"/>
      <c r="H208" s="2017"/>
      <c r="I208" s="2017"/>
      <c r="J208" s="2414"/>
      <c r="K208" s="2017"/>
      <c r="L208" s="2017"/>
      <c r="M208" s="2017"/>
      <c r="N208" s="2017"/>
      <c r="O208" s="2017"/>
      <c r="P208" s="2184"/>
      <c r="Q208" s="2017"/>
      <c r="R208" s="2017"/>
      <c r="S208" s="2017"/>
      <c r="T208" s="2017"/>
      <c r="U208" s="2017"/>
      <c r="V208" s="2017"/>
      <c r="W208" s="2017"/>
      <c r="X208" s="2017"/>
      <c r="Y208" s="2017"/>
      <c r="Z208" s="2017"/>
      <c r="AA208" s="2017"/>
      <c r="AB208" s="2017"/>
      <c r="AC208" s="2184"/>
      <c r="AD208" s="2184"/>
      <c r="AE208" s="2184"/>
      <c r="AF208" s="2184"/>
      <c r="AG208" s="2017"/>
    </row>
    <row r="209" spans="2:33">
      <c r="B209" s="2017"/>
      <c r="C209" s="2017"/>
      <c r="D209" s="2017"/>
      <c r="E209" s="2017"/>
      <c r="F209" s="2017"/>
      <c r="G209" s="2017"/>
      <c r="H209" s="2017"/>
      <c r="I209" s="2017"/>
      <c r="J209" s="2414"/>
      <c r="K209" s="2017"/>
      <c r="L209" s="2017"/>
      <c r="M209" s="2017"/>
      <c r="N209" s="2017"/>
      <c r="O209" s="2017"/>
      <c r="P209" s="2184"/>
      <c r="Q209" s="2017"/>
      <c r="R209" s="2017"/>
      <c r="S209" s="2017"/>
      <c r="T209" s="2017"/>
      <c r="U209" s="2017"/>
      <c r="V209" s="2017"/>
      <c r="W209" s="2017"/>
      <c r="X209" s="2017"/>
      <c r="Y209" s="2017"/>
      <c r="Z209" s="2017"/>
      <c r="AA209" s="2017"/>
      <c r="AB209" s="2017"/>
      <c r="AC209" s="2184"/>
      <c r="AD209" s="2184"/>
      <c r="AE209" s="2184"/>
      <c r="AF209" s="2184"/>
      <c r="AG209" s="2017"/>
    </row>
    <row r="210" spans="2:33">
      <c r="B210" s="2017"/>
      <c r="C210" s="2017"/>
      <c r="D210" s="2017"/>
      <c r="E210" s="2017"/>
      <c r="F210" s="2017"/>
      <c r="G210" s="2017"/>
      <c r="H210" s="2017"/>
      <c r="I210" s="2017"/>
      <c r="J210" s="2414"/>
      <c r="K210" s="2017"/>
      <c r="L210" s="2017"/>
      <c r="M210" s="2017"/>
      <c r="N210" s="2017"/>
      <c r="O210" s="2017"/>
      <c r="P210" s="2184"/>
      <c r="Q210" s="2017"/>
      <c r="R210" s="2017"/>
      <c r="S210" s="2017"/>
      <c r="T210" s="2017"/>
      <c r="U210" s="2017"/>
      <c r="V210" s="2017"/>
      <c r="W210" s="2017"/>
      <c r="X210" s="2017"/>
      <c r="Y210" s="2017"/>
      <c r="Z210" s="2017"/>
      <c r="AA210" s="2017"/>
      <c r="AB210" s="2017"/>
      <c r="AC210" s="2184"/>
      <c r="AD210" s="2184"/>
      <c r="AE210" s="2184"/>
      <c r="AF210" s="2184"/>
      <c r="AG210" s="2017"/>
    </row>
    <row r="211" spans="2:33">
      <c r="B211" s="2017"/>
      <c r="C211" s="2017"/>
      <c r="D211" s="2017"/>
      <c r="E211" s="2017"/>
      <c r="F211" s="2017"/>
      <c r="G211" s="2017"/>
      <c r="H211" s="2017"/>
      <c r="I211" s="2017"/>
      <c r="J211" s="2414"/>
      <c r="K211" s="2017"/>
      <c r="L211" s="2017"/>
      <c r="M211" s="2017"/>
      <c r="N211" s="2017"/>
      <c r="O211" s="2017"/>
      <c r="P211" s="2184"/>
      <c r="Q211" s="2017"/>
      <c r="R211" s="2017"/>
      <c r="S211" s="2017"/>
      <c r="T211" s="2017"/>
      <c r="U211" s="2017"/>
      <c r="V211" s="2017"/>
      <c r="W211" s="2017"/>
      <c r="X211" s="2017"/>
      <c r="Y211" s="2017"/>
      <c r="Z211" s="2017"/>
      <c r="AA211" s="2017"/>
      <c r="AB211" s="2017"/>
      <c r="AC211" s="2184"/>
      <c r="AD211" s="2184"/>
      <c r="AE211" s="2184"/>
      <c r="AF211" s="2184"/>
      <c r="AG211" s="2017"/>
    </row>
    <row r="212" spans="2:33">
      <c r="B212" s="2017"/>
      <c r="C212" s="2017"/>
      <c r="D212" s="2017"/>
      <c r="E212" s="2017"/>
      <c r="F212" s="2017"/>
      <c r="G212" s="2017"/>
      <c r="H212" s="2017"/>
      <c r="I212" s="2017"/>
      <c r="J212" s="2414"/>
      <c r="K212" s="2017"/>
      <c r="L212" s="2017"/>
      <c r="M212" s="2017"/>
      <c r="N212" s="2017"/>
      <c r="O212" s="2017"/>
      <c r="P212" s="2184"/>
      <c r="Q212" s="2017"/>
      <c r="R212" s="2017"/>
      <c r="S212" s="2017"/>
      <c r="T212" s="2017"/>
      <c r="U212" s="2017"/>
      <c r="V212" s="2017"/>
      <c r="W212" s="2017"/>
      <c r="X212" s="2017"/>
      <c r="Y212" s="2017"/>
      <c r="Z212" s="2017"/>
      <c r="AA212" s="2017"/>
      <c r="AB212" s="2017"/>
      <c r="AC212" s="2184"/>
      <c r="AD212" s="2184"/>
      <c r="AE212" s="2184"/>
      <c r="AF212" s="2184"/>
      <c r="AG212" s="2017"/>
    </row>
    <row r="213" spans="2:33">
      <c r="B213" s="2017"/>
      <c r="C213" s="2017"/>
      <c r="D213" s="2017"/>
      <c r="E213" s="2017"/>
      <c r="F213" s="2017"/>
      <c r="G213" s="2017"/>
      <c r="H213" s="2017"/>
      <c r="I213" s="2017"/>
      <c r="J213" s="2414"/>
      <c r="K213" s="2017"/>
      <c r="L213" s="2017"/>
      <c r="M213" s="2017"/>
      <c r="N213" s="2017"/>
      <c r="O213" s="2017"/>
      <c r="P213" s="2184"/>
      <c r="Q213" s="2017"/>
      <c r="R213" s="2017"/>
      <c r="S213" s="2017"/>
      <c r="T213" s="2017"/>
      <c r="U213" s="2017"/>
      <c r="V213" s="2017"/>
      <c r="W213" s="2017"/>
      <c r="X213" s="2017"/>
      <c r="Y213" s="2017"/>
      <c r="Z213" s="2017"/>
      <c r="AA213" s="2017"/>
      <c r="AB213" s="2017"/>
      <c r="AC213" s="2184"/>
      <c r="AD213" s="2184"/>
      <c r="AE213" s="2184"/>
      <c r="AF213" s="2184"/>
      <c r="AG213" s="2017"/>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29:AK130 AK117:AK118 AK120:AK127 AK17:AK21 AK89:AK90 AK102:AK108 AK67:AK69 AK80:AK81 AK92:AK93 AK52:AK56 AK58:AK60 AK32:AK33 AK36:AK41 AK64:AK65 AK110:AK115 AK24:AK30 AK95:AK100 AK43:AK48 AK62" unlockedFormula="1"/>
    <ignoredError sqref="AI20 AK49 D22 AK84 AK86:AK87 AK61" formula="1"/>
    <ignoredError sqref="AK75 AK101 AK70:AK73 AK85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70" workbookViewId="0"/>
  </sheetViews>
  <sheetFormatPr defaultColWidth="8.765625" defaultRowHeight="15.5"/>
  <cols>
    <col min="1" max="1" width="1.765625" style="2014" customWidth="1"/>
    <col min="2" max="2" width="45.4609375" style="2014" customWidth="1"/>
    <col min="3" max="3" width="1.765625" style="2014" customWidth="1"/>
    <col min="4" max="4" width="12.4609375" style="2014" bestFit="1" customWidth="1"/>
    <col min="5" max="5" width="1.765625" style="2520" customWidth="1"/>
    <col min="6" max="6" width="12.07421875" style="2014" bestFit="1" customWidth="1"/>
    <col min="7" max="7" width="1.765625" style="2520" customWidth="1"/>
    <col min="8" max="8" width="15" style="2014" customWidth="1"/>
    <col min="9" max="9" width="1.765625" style="2520" customWidth="1"/>
    <col min="10" max="10" width="16.07421875" style="2014" customWidth="1"/>
    <col min="11" max="11" width="1.765625" style="2520" customWidth="1"/>
    <col min="12" max="12" width="13.4609375" style="2014" customWidth="1"/>
    <col min="13" max="13" width="1.765625" style="2520" customWidth="1"/>
    <col min="14" max="14" width="14.07421875" style="2014" customWidth="1"/>
    <col min="15" max="15" width="1.765625" style="2520" customWidth="1"/>
    <col min="16" max="16" width="14.07421875" style="2014" customWidth="1"/>
    <col min="17" max="17" width="1.765625" style="2520" customWidth="1"/>
    <col min="18" max="18" width="14.07421875" style="2014" customWidth="1"/>
    <col min="19" max="19" width="1.765625" style="2520" customWidth="1"/>
    <col min="20" max="20" width="14.07421875" style="2177" customWidth="1"/>
    <col min="21" max="21" width="1.765625" style="2520" customWidth="1"/>
    <col min="22" max="22" width="14.07421875" style="2014" customWidth="1"/>
    <col min="23" max="23" width="1.765625" style="2520" customWidth="1"/>
    <col min="24" max="24" width="14.07421875" style="2014" customWidth="1"/>
    <col min="25" max="25" width="1.765625" style="2520" customWidth="1"/>
    <col min="26" max="26" width="14.07421875" style="2014" customWidth="1"/>
    <col min="27" max="27" width="1.765625" style="2014" customWidth="1"/>
    <col min="28" max="28" width="14.07421875" style="2014" bestFit="1" customWidth="1"/>
    <col min="29" max="29" width="1.765625" style="2014" customWidth="1"/>
    <col min="30" max="30" width="12.53515625" style="2177" bestFit="1" customWidth="1"/>
    <col min="31" max="31" width="1.4609375" style="2177" customWidth="1"/>
    <col min="32" max="32" width="1.07421875" style="2177" customWidth="1"/>
    <col min="33" max="33" width="12.53515625" style="2177" bestFit="1" customWidth="1"/>
    <col min="34" max="34" width="0.765625" style="2177" customWidth="1"/>
    <col min="35" max="35" width="0.765625" style="2014" customWidth="1"/>
    <col min="36" max="36" width="12.765625" style="2014" customWidth="1"/>
    <col min="37" max="37" width="0.765625" style="2014" customWidth="1"/>
    <col min="38" max="38" width="10.765625" style="1426" customWidth="1"/>
    <col min="39" max="16384" width="8.765625" style="2014"/>
  </cols>
  <sheetData>
    <row r="1" spans="1:43">
      <c r="B1" s="2225" t="s">
        <v>885</v>
      </c>
    </row>
    <row r="2" spans="1:43">
      <c r="A2" s="2517"/>
      <c r="N2" s="2418"/>
    </row>
    <row r="3" spans="1:43" s="2177" customFormat="1" ht="18">
      <c r="A3" s="3094"/>
      <c r="B3" s="3095" t="s">
        <v>0</v>
      </c>
      <c r="E3" s="2532"/>
      <c r="G3" s="2532"/>
      <c r="I3" s="2532"/>
      <c r="K3" s="2532"/>
      <c r="M3" s="2532"/>
      <c r="N3" s="2543"/>
      <c r="O3" s="2532"/>
      <c r="Q3" s="2532"/>
      <c r="S3" s="2532"/>
      <c r="U3" s="2532"/>
      <c r="W3" s="2532"/>
      <c r="Y3" s="2532"/>
      <c r="AE3" s="3096"/>
      <c r="AF3" s="3096"/>
      <c r="AG3" s="3096"/>
      <c r="AH3" s="3096"/>
      <c r="AI3" s="3096"/>
      <c r="AJ3" s="3096"/>
      <c r="AK3" s="3096"/>
      <c r="AL3" s="3097" t="s">
        <v>167</v>
      </c>
    </row>
    <row r="4" spans="1:43" s="2177" customFormat="1" ht="18">
      <c r="A4" s="3094"/>
      <c r="B4" s="3095" t="s">
        <v>1085</v>
      </c>
      <c r="E4" s="2532"/>
      <c r="G4" s="2532"/>
      <c r="I4" s="2532"/>
      <c r="K4" s="2532"/>
      <c r="L4" s="2543"/>
      <c r="M4" s="2532"/>
      <c r="O4" s="2532"/>
      <c r="Q4" s="2532"/>
      <c r="S4" s="2532"/>
      <c r="U4" s="2532"/>
      <c r="W4" s="2532"/>
      <c r="Y4" s="2532"/>
      <c r="AL4" s="3098"/>
    </row>
    <row r="5" spans="1:43" s="2177" customFormat="1" ht="18">
      <c r="A5" s="3094"/>
      <c r="B5" s="1467" t="s">
        <v>147</v>
      </c>
      <c r="E5" s="2532"/>
      <c r="G5" s="2532"/>
      <c r="I5" s="2532"/>
      <c r="K5" s="2532"/>
      <c r="L5" s="2456"/>
      <c r="M5" s="2532"/>
      <c r="O5" s="2532"/>
      <c r="Q5" s="2532"/>
      <c r="S5" s="2532"/>
      <c r="U5" s="2532"/>
      <c r="W5" s="2532"/>
      <c r="X5" s="2183"/>
      <c r="Y5" s="2532"/>
      <c r="AL5" s="3098"/>
    </row>
    <row r="6" spans="1:43" s="2177" customFormat="1" ht="20">
      <c r="A6" s="3094"/>
      <c r="B6" s="1467" t="str">
        <f>'Cashflow Governmental'!A6</f>
        <v xml:space="preserve">FISCAL YEAR 2021-2022   </v>
      </c>
      <c r="E6" s="2532"/>
      <c r="G6" s="2532"/>
      <c r="I6" s="2532"/>
      <c r="K6" s="2532"/>
      <c r="L6" s="2456"/>
      <c r="M6" s="2532"/>
      <c r="O6" s="2532"/>
      <c r="Q6" s="2532"/>
      <c r="S6" s="2532"/>
      <c r="T6" s="3098" t="s">
        <v>14</v>
      </c>
      <c r="U6" s="2532"/>
      <c r="W6" s="2532"/>
      <c r="Y6" s="2532"/>
      <c r="AL6" s="3099"/>
    </row>
    <row r="7" spans="1:43" s="2177" customFormat="1" ht="18">
      <c r="A7" s="3094"/>
      <c r="B7" s="3095" t="s">
        <v>1282</v>
      </c>
      <c r="E7" s="2532"/>
      <c r="G7" s="2532"/>
      <c r="I7" s="2532"/>
      <c r="K7" s="2532"/>
      <c r="M7" s="2532"/>
      <c r="O7" s="2532"/>
      <c r="Q7" s="2532"/>
      <c r="S7" s="2532"/>
      <c r="U7" s="2532"/>
      <c r="W7" s="2532"/>
      <c r="Y7" s="2532"/>
      <c r="AI7" s="2456"/>
      <c r="AJ7" s="2456"/>
      <c r="AK7" s="2456"/>
      <c r="AL7" s="2495"/>
    </row>
    <row r="8" spans="1:43">
      <c r="A8" s="2517"/>
      <c r="L8" s="2036"/>
      <c r="N8" s="2036"/>
      <c r="AC8" s="2036"/>
      <c r="AD8" s="2456"/>
      <c r="AE8" s="2456"/>
      <c r="AF8" s="2456"/>
      <c r="AG8" s="2456"/>
      <c r="AH8" s="2456"/>
      <c r="AI8" s="2036"/>
      <c r="AJ8" s="2036"/>
      <c r="AK8" s="2036"/>
      <c r="AL8" s="2460"/>
    </row>
    <row r="9" spans="1:43" s="2017" customFormat="1" ht="19.5" customHeight="1">
      <c r="A9" s="2413"/>
      <c r="D9" s="2017" t="s">
        <v>14</v>
      </c>
      <c r="E9" s="803" t="s">
        <v>14</v>
      </c>
      <c r="G9" s="2520"/>
      <c r="I9" s="2520"/>
      <c r="K9" s="2520"/>
      <c r="L9" s="2521"/>
      <c r="M9" s="2520"/>
      <c r="N9" s="2521"/>
      <c r="O9" s="2520"/>
      <c r="Q9" s="2520"/>
      <c r="S9" s="2520"/>
      <c r="T9" s="2184"/>
      <c r="U9" s="2520"/>
      <c r="W9" s="2520"/>
      <c r="Y9" s="2520"/>
      <c r="AB9" s="2432" t="s">
        <v>1178</v>
      </c>
      <c r="AC9" s="3935" t="s">
        <v>1422</v>
      </c>
      <c r="AD9" s="3935"/>
      <c r="AE9" s="3935"/>
      <c r="AF9" s="3935"/>
      <c r="AG9" s="3935"/>
      <c r="AH9" s="3935"/>
      <c r="AI9" s="3935"/>
      <c r="AJ9" s="3935"/>
      <c r="AK9" s="3935"/>
      <c r="AL9" s="3935"/>
    </row>
    <row r="10" spans="1:43">
      <c r="A10" s="2517"/>
      <c r="D10" s="2522" t="str">
        <f>'Cashflow Governmental'!C13</f>
        <v>2021</v>
      </c>
      <c r="F10" s="2418"/>
      <c r="H10" s="2418"/>
      <c r="J10" s="2418"/>
      <c r="L10" s="2418"/>
      <c r="N10" s="2418"/>
      <c r="P10" s="2418"/>
      <c r="R10" s="2418"/>
      <c r="T10" s="2543"/>
      <c r="V10" s="2522">
        <f>'Cashflow Governmental'!U13</f>
        <v>2022</v>
      </c>
      <c r="X10" s="2418"/>
      <c r="Z10" s="2418"/>
      <c r="AA10" s="2418"/>
      <c r="AB10" s="2432" t="s">
        <v>1179</v>
      </c>
      <c r="AC10" s="2418"/>
      <c r="AD10" s="2428"/>
      <c r="AE10" s="2428"/>
      <c r="AF10" s="2428"/>
      <c r="AG10" s="2428"/>
      <c r="AH10" s="2428"/>
      <c r="AI10" s="2419"/>
      <c r="AJ10" s="2430" t="s">
        <v>7</v>
      </c>
      <c r="AK10" s="2426"/>
      <c r="AL10" s="2431" t="s">
        <v>8</v>
      </c>
      <c r="AM10" s="2419"/>
      <c r="AN10" s="2419"/>
      <c r="AO10" s="2419"/>
      <c r="AP10" s="2419"/>
      <c r="AQ10" s="2419"/>
    </row>
    <row r="11" spans="1:43">
      <c r="A11" s="2517"/>
      <c r="D11" s="2432" t="s">
        <v>123</v>
      </c>
      <c r="F11" s="2432" t="s">
        <v>124</v>
      </c>
      <c r="H11" s="2432" t="s">
        <v>125</v>
      </c>
      <c r="J11" s="2432" t="s">
        <v>126</v>
      </c>
      <c r="L11" s="2523" t="s">
        <v>127</v>
      </c>
      <c r="N11" s="2432" t="s">
        <v>142</v>
      </c>
      <c r="P11" s="2432" t="s">
        <v>143</v>
      </c>
      <c r="R11" s="2432" t="s">
        <v>130</v>
      </c>
      <c r="T11" s="3371" t="s">
        <v>131</v>
      </c>
      <c r="V11" s="2432" t="s">
        <v>132</v>
      </c>
      <c r="X11" s="2432" t="s">
        <v>133</v>
      </c>
      <c r="Z11" s="2432" t="s">
        <v>184</v>
      </c>
      <c r="AA11" s="2432"/>
      <c r="AB11" s="2523" t="s">
        <v>1180</v>
      </c>
      <c r="AC11" s="2418"/>
      <c r="AD11" s="2576">
        <f>'Cashflow Governmental'!AB14</f>
        <v>2021</v>
      </c>
      <c r="AE11" s="2543" t="s">
        <v>14</v>
      </c>
      <c r="AF11" s="2546"/>
      <c r="AG11" s="2576">
        <f>'Cashflow Governmental'!AE14</f>
        <v>2020</v>
      </c>
      <c r="AH11" s="3460"/>
      <c r="AI11" s="2419"/>
      <c r="AJ11" s="2437" t="s">
        <v>11</v>
      </c>
      <c r="AK11" s="2419"/>
      <c r="AL11" s="2437" t="s">
        <v>12</v>
      </c>
      <c r="AM11" s="2419"/>
      <c r="AN11" s="2419"/>
      <c r="AO11" s="2419"/>
      <c r="AP11" s="2419"/>
      <c r="AQ11" s="2419"/>
    </row>
    <row r="12" spans="1:43" ht="5.25" customHeight="1">
      <c r="A12" s="2517"/>
      <c r="D12" s="2439"/>
      <c r="F12" s="2439"/>
      <c r="H12" s="2439"/>
      <c r="J12" s="2439"/>
      <c r="L12" s="2439"/>
      <c r="N12" s="2524"/>
      <c r="P12" s="2439"/>
      <c r="R12" s="2439"/>
      <c r="T12" s="3041"/>
      <c r="V12" s="2439"/>
      <c r="X12" s="2439"/>
      <c r="Z12" s="2439"/>
      <c r="AA12" s="2013"/>
      <c r="AD12" s="3041"/>
      <c r="AG12" s="3041"/>
      <c r="AH12" s="2176"/>
      <c r="AI12" s="2525"/>
    </row>
    <row r="13" spans="1:43" ht="15" customHeight="1">
      <c r="A13" s="2036"/>
      <c r="B13" s="2526" t="s">
        <v>1139</v>
      </c>
      <c r="C13" s="2036"/>
      <c r="D13" s="2021">
        <f>'Exhibit G State'!D13+'Exhibit G Federal'!D13</f>
        <v>10669.3</v>
      </c>
      <c r="F13" s="2446"/>
      <c r="H13" s="2446"/>
      <c r="J13" s="2446"/>
      <c r="L13" s="2446"/>
      <c r="N13" s="2446"/>
      <c r="P13" s="1992"/>
      <c r="R13" s="2446"/>
      <c r="T13" s="2021"/>
      <c r="V13" s="2446"/>
      <c r="X13" s="2446"/>
      <c r="Z13" s="2446"/>
      <c r="AA13" s="2446"/>
      <c r="AB13" s="2446">
        <v>0</v>
      </c>
      <c r="AC13" s="2527"/>
      <c r="AD13" s="2021">
        <f>D13</f>
        <v>10669.3</v>
      </c>
      <c r="AE13" s="2021"/>
      <c r="AF13" s="3438"/>
      <c r="AG13" s="2444">
        <f>'Exhibit G State'!AG13+'Exhibit G Federal'!AG13</f>
        <v>6312.1</v>
      </c>
      <c r="AH13" s="3461"/>
      <c r="AI13" s="2011"/>
      <c r="AJ13" s="2528">
        <f>AD13-AG13</f>
        <v>4357.1999999999989</v>
      </c>
      <c r="AK13" s="2529"/>
      <c r="AL13" s="2481">
        <f>(AD13-AG13)/AG13</f>
        <v>0.69029324630471611</v>
      </c>
      <c r="AM13" s="2016"/>
      <c r="AN13" s="2016"/>
      <c r="AO13" s="2016"/>
      <c r="AP13" s="2016"/>
      <c r="AQ13" s="2016"/>
    </row>
    <row r="14" spans="1:43" ht="15" customHeight="1">
      <c r="A14" s="2036"/>
      <c r="B14" s="2036"/>
      <c r="C14" s="2036"/>
      <c r="AC14" s="2530"/>
      <c r="AF14" s="3439"/>
      <c r="AH14" s="3462"/>
      <c r="AI14" s="2013"/>
      <c r="AL14" s="1425"/>
    </row>
    <row r="15" spans="1:43" ht="15" customHeight="1">
      <c r="A15" s="2036"/>
      <c r="B15" s="2418" t="s">
        <v>13</v>
      </c>
      <c r="C15" s="2036"/>
      <c r="D15" s="1998"/>
      <c r="F15" s="1998"/>
      <c r="H15" s="1998"/>
      <c r="J15" s="1998"/>
      <c r="L15" s="1998"/>
      <c r="N15" s="1998"/>
      <c r="P15" s="1998"/>
      <c r="R15" s="1998"/>
      <c r="T15" s="1987"/>
      <c r="V15" s="1998"/>
      <c r="X15" s="1998"/>
      <c r="Z15" s="1998"/>
      <c r="AA15" s="1998"/>
      <c r="AB15" s="1998"/>
      <c r="AC15" s="2029"/>
      <c r="AD15" s="1987"/>
      <c r="AE15" s="1987"/>
      <c r="AF15" s="2031"/>
      <c r="AG15" s="1987"/>
      <c r="AH15" s="3463"/>
      <c r="AI15" s="1999"/>
      <c r="AJ15" s="1998"/>
      <c r="AL15" s="1425"/>
    </row>
    <row r="16" spans="1:43" ht="15" customHeight="1">
      <c r="A16" s="2036"/>
      <c r="B16" s="2453" t="s">
        <v>997</v>
      </c>
      <c r="C16" s="2036"/>
      <c r="D16" s="1998"/>
      <c r="F16" s="1998"/>
      <c r="H16" s="1998"/>
      <c r="J16" s="1998"/>
      <c r="L16" s="1998"/>
      <c r="N16" s="1998"/>
      <c r="P16" s="1998"/>
      <c r="R16" s="1998"/>
      <c r="T16" s="1987"/>
      <c r="V16" s="1998"/>
      <c r="X16" s="1998"/>
      <c r="Z16" s="1998"/>
      <c r="AA16" s="1998"/>
      <c r="AB16" s="1998"/>
      <c r="AC16" s="2029"/>
      <c r="AD16" s="1987"/>
      <c r="AE16" s="1987"/>
      <c r="AF16" s="2031"/>
      <c r="AG16" s="1987"/>
      <c r="AH16" s="3463"/>
      <c r="AI16" s="1999"/>
      <c r="AJ16" s="1998"/>
      <c r="AL16" s="1425"/>
    </row>
    <row r="17" spans="1:38" s="2419" customFormat="1" ht="15" customHeight="1">
      <c r="A17" s="2418"/>
      <c r="B17" s="2531" t="s">
        <v>1000</v>
      </c>
      <c r="C17" s="2418"/>
      <c r="D17" s="1992">
        <f>'Exhibit G State'!D17</f>
        <v>0</v>
      </c>
      <c r="E17" s="1436"/>
      <c r="F17" s="1992"/>
      <c r="G17" s="1436"/>
      <c r="H17" s="1992"/>
      <c r="I17" s="2520"/>
      <c r="J17" s="1992"/>
      <c r="K17" s="2532"/>
      <c r="L17" s="1992"/>
      <c r="M17" s="2532"/>
      <c r="N17" s="1992"/>
      <c r="O17" s="2532"/>
      <c r="P17" s="1992"/>
      <c r="Q17" s="2532"/>
      <c r="R17" s="1992"/>
      <c r="S17" s="2532"/>
      <c r="T17" s="1992"/>
      <c r="U17" s="2532"/>
      <c r="V17" s="1992"/>
      <c r="W17" s="2532"/>
      <c r="X17" s="1992"/>
      <c r="Y17" s="2532"/>
      <c r="Z17" s="1992"/>
      <c r="AA17" s="1992"/>
      <c r="AB17" s="1436">
        <v>0</v>
      </c>
      <c r="AC17" s="2527"/>
      <c r="AD17" s="1992">
        <f>ROUND(SUM(D17:Z17),1)</f>
        <v>0</v>
      </c>
      <c r="AE17" s="1992"/>
      <c r="AF17" s="1993"/>
      <c r="AG17" s="2024">
        <f>'Exhibit G State'!AG17</f>
        <v>0</v>
      </c>
      <c r="AH17" s="3464"/>
      <c r="AI17" s="2468"/>
      <c r="AJ17" s="1436">
        <f>ROUND(SUM(+AD17-AG17),1)</f>
        <v>0</v>
      </c>
      <c r="AK17" s="2533"/>
      <c r="AL17" s="1431">
        <f>ROUND(IF(AG17=0,0,AJ17/ABS(AG17)),3)</f>
        <v>0</v>
      </c>
    </row>
    <row r="18" spans="1:38" s="2419" customFormat="1" ht="6" customHeight="1">
      <c r="A18" s="2418"/>
      <c r="B18" s="2531"/>
      <c r="C18" s="2418"/>
      <c r="D18" s="2534"/>
      <c r="E18" s="2520"/>
      <c r="F18" s="2534"/>
      <c r="G18" s="2520"/>
      <c r="H18" s="2534"/>
      <c r="I18" s="2520"/>
      <c r="J18" s="2534"/>
      <c r="K18" s="2532"/>
      <c r="L18" s="2534"/>
      <c r="M18" s="2532"/>
      <c r="N18" s="2534"/>
      <c r="O18" s="2532"/>
      <c r="P18" s="2534"/>
      <c r="Q18" s="2532"/>
      <c r="R18" s="2534"/>
      <c r="S18" s="2532"/>
      <c r="T18" s="2534"/>
      <c r="U18" s="2532"/>
      <c r="V18" s="2534"/>
      <c r="W18" s="2532"/>
      <c r="X18" s="2534"/>
      <c r="Y18" s="2532"/>
      <c r="Z18" s="2534"/>
      <c r="AA18" s="2534"/>
      <c r="AB18" s="2446"/>
      <c r="AC18" s="2527"/>
      <c r="AD18" s="2018"/>
      <c r="AE18" s="2018"/>
      <c r="AF18" s="3440"/>
      <c r="AG18" s="2020"/>
      <c r="AH18" s="3465"/>
      <c r="AI18" s="2536"/>
      <c r="AJ18" s="2535"/>
      <c r="AK18" s="2533"/>
      <c r="AL18" s="1431"/>
    </row>
    <row r="19" spans="1:38" ht="15" customHeight="1">
      <c r="A19" s="2036"/>
      <c r="B19" s="2531" t="s">
        <v>1059</v>
      </c>
      <c r="C19" s="2036"/>
      <c r="D19" s="1987"/>
      <c r="F19" s="1987"/>
      <c r="H19" s="1987"/>
      <c r="J19" s="1987"/>
      <c r="K19" s="2532"/>
      <c r="L19" s="1987"/>
      <c r="M19" s="2532"/>
      <c r="N19" s="1992"/>
      <c r="O19" s="2532"/>
      <c r="P19" s="1992"/>
      <c r="Q19" s="2532"/>
      <c r="R19" s="1992"/>
      <c r="S19" s="2532"/>
      <c r="T19" s="1992"/>
      <c r="U19" s="2532"/>
      <c r="V19" s="1987"/>
      <c r="W19" s="2532"/>
      <c r="X19" s="1987"/>
      <c r="Y19" s="2532"/>
      <c r="Z19" s="1987"/>
      <c r="AA19" s="1987"/>
      <c r="AB19" s="1998"/>
      <c r="AC19" s="2029"/>
      <c r="AD19" s="2042"/>
      <c r="AE19" s="2042"/>
      <c r="AF19" s="2544"/>
      <c r="AG19" s="2042"/>
      <c r="AH19" s="3466"/>
      <c r="AI19" s="1437"/>
      <c r="AJ19" s="1454"/>
      <c r="AK19" s="2419"/>
      <c r="AL19" s="2481"/>
    </row>
    <row r="20" spans="1:38" ht="15" customHeight="1">
      <c r="A20" s="2036"/>
      <c r="B20" s="2537" t="s">
        <v>1012</v>
      </c>
      <c r="C20" s="2036"/>
      <c r="D20" s="1992">
        <f>'Exhibit G State'!D20</f>
        <v>109.2</v>
      </c>
      <c r="E20" s="1436"/>
      <c r="F20" s="1992"/>
      <c r="G20" s="1436"/>
      <c r="H20" s="1992"/>
      <c r="J20" s="1992"/>
      <c r="K20" s="2532"/>
      <c r="L20" s="1992"/>
      <c r="M20" s="2532"/>
      <c r="N20" s="1992"/>
      <c r="O20" s="2532"/>
      <c r="P20" s="1992"/>
      <c r="Q20" s="2532"/>
      <c r="R20" s="1992"/>
      <c r="S20" s="2532"/>
      <c r="T20" s="1992"/>
      <c r="U20" s="2532"/>
      <c r="V20" s="1992"/>
      <c r="W20" s="2532"/>
      <c r="X20" s="1992"/>
      <c r="Y20" s="2532"/>
      <c r="Z20" s="1992"/>
      <c r="AA20" s="1992"/>
      <c r="AB20" s="1998">
        <v>0</v>
      </c>
      <c r="AC20" s="2029"/>
      <c r="AD20" s="1987">
        <f>ROUND(SUM(D20:Z20),1)</f>
        <v>109.2</v>
      </c>
      <c r="AE20" s="1987"/>
      <c r="AF20" s="2031"/>
      <c r="AG20" s="2024">
        <f>'Exhibit G State'!AG20</f>
        <v>80.3</v>
      </c>
      <c r="AH20" s="3463"/>
      <c r="AI20" s="1999"/>
      <c r="AJ20" s="1436">
        <f t="shared" ref="AJ20:AJ26" si="0">ROUND(SUM(+AD20-AG20),1)</f>
        <v>28.9</v>
      </c>
      <c r="AK20" s="2533"/>
      <c r="AL20" s="1431">
        <f t="shared" ref="AL20:AL25" si="1">ROUND(IF(AG20=0,0,AJ20/ABS(AG20)),3)</f>
        <v>0.36</v>
      </c>
    </row>
    <row r="21" spans="1:38" ht="15" customHeight="1">
      <c r="A21" s="2036"/>
      <c r="B21" s="2537" t="s">
        <v>1013</v>
      </c>
      <c r="C21" s="2036"/>
      <c r="D21" s="1992">
        <f>'Exhibit G State'!D21</f>
        <v>-0.2</v>
      </c>
      <c r="E21" s="1436"/>
      <c r="F21" s="1992"/>
      <c r="G21" s="1436"/>
      <c r="H21" s="1992"/>
      <c r="J21" s="1992"/>
      <c r="K21" s="2532"/>
      <c r="L21" s="1992"/>
      <c r="M21" s="2532"/>
      <c r="N21" s="1992"/>
      <c r="O21" s="2532"/>
      <c r="P21" s="1992"/>
      <c r="Q21" s="2532"/>
      <c r="R21" s="1992"/>
      <c r="S21" s="2532"/>
      <c r="T21" s="1992"/>
      <c r="U21" s="2532"/>
      <c r="V21" s="1992"/>
      <c r="W21" s="2532"/>
      <c r="X21" s="1992"/>
      <c r="Y21" s="2532"/>
      <c r="Z21" s="1992"/>
      <c r="AA21" s="1992"/>
      <c r="AB21" s="1998">
        <v>0</v>
      </c>
      <c r="AC21" s="2029"/>
      <c r="AD21" s="1987">
        <f>ROUND(SUM(D21:Z21),1)</f>
        <v>-0.2</v>
      </c>
      <c r="AE21" s="1987"/>
      <c r="AF21" s="2031"/>
      <c r="AG21" s="2024">
        <f>'Exhibit G State'!AG21</f>
        <v>-0.1</v>
      </c>
      <c r="AH21" s="3463"/>
      <c r="AI21" s="1999"/>
      <c r="AJ21" s="1436">
        <f t="shared" si="0"/>
        <v>-0.1</v>
      </c>
      <c r="AK21" s="2533"/>
      <c r="AL21" s="1431">
        <f>ROUND(IF(AG21=0,1,AJ21/ABS(AG21)),3)</f>
        <v>-1</v>
      </c>
    </row>
    <row r="22" spans="1:38" ht="15" customHeight="1">
      <c r="A22" s="2036"/>
      <c r="B22" s="2537" t="s">
        <v>1014</v>
      </c>
      <c r="C22" s="2036"/>
      <c r="D22" s="1992">
        <f>'Exhibit G State'!D22</f>
        <v>69.7</v>
      </c>
      <c r="E22" s="1436"/>
      <c r="F22" s="1992"/>
      <c r="G22" s="1436"/>
      <c r="H22" s="1992"/>
      <c r="J22" s="1992"/>
      <c r="K22" s="2532"/>
      <c r="L22" s="1992"/>
      <c r="M22" s="2532"/>
      <c r="N22" s="1992"/>
      <c r="O22" s="2532"/>
      <c r="P22" s="1992"/>
      <c r="Q22" s="2532"/>
      <c r="R22" s="1992"/>
      <c r="S22" s="2532"/>
      <c r="T22" s="1992"/>
      <c r="U22" s="2532"/>
      <c r="V22" s="1992"/>
      <c r="W22" s="2532"/>
      <c r="X22" s="1992"/>
      <c r="Y22" s="2532"/>
      <c r="Z22" s="1992"/>
      <c r="AA22" s="1992"/>
      <c r="AB22" s="1998">
        <v>0</v>
      </c>
      <c r="AC22" s="2029"/>
      <c r="AD22" s="1987">
        <f t="shared" ref="AD22:AD26" si="2">ROUND(SUM(D22:Z22),1)</f>
        <v>69.7</v>
      </c>
      <c r="AE22" s="1987"/>
      <c r="AF22" s="2031"/>
      <c r="AG22" s="2024">
        <f>'Exhibit G State'!AG22</f>
        <v>68.8</v>
      </c>
      <c r="AH22" s="3463"/>
      <c r="AI22" s="1999"/>
      <c r="AJ22" s="1436">
        <f t="shared" si="0"/>
        <v>0.9</v>
      </c>
      <c r="AK22" s="2533"/>
      <c r="AL22" s="1431">
        <f t="shared" si="1"/>
        <v>1.2999999999999999E-2</v>
      </c>
    </row>
    <row r="23" spans="1:38" ht="15" customHeight="1">
      <c r="A23" s="2036"/>
      <c r="B23" s="2225" t="s">
        <v>1156</v>
      </c>
      <c r="C23" s="2036"/>
      <c r="D23" s="1992">
        <f>'Exhibit G State'!D23</f>
        <v>1.5</v>
      </c>
      <c r="E23" s="1436"/>
      <c r="F23" s="1992"/>
      <c r="G23" s="1436"/>
      <c r="H23" s="1992"/>
      <c r="J23" s="1992"/>
      <c r="K23" s="2532"/>
      <c r="L23" s="1992"/>
      <c r="M23" s="2532"/>
      <c r="N23" s="1992"/>
      <c r="O23" s="2532"/>
      <c r="P23" s="1992"/>
      <c r="Q23" s="2532"/>
      <c r="R23" s="1992"/>
      <c r="S23" s="2532"/>
      <c r="T23" s="1992"/>
      <c r="U23" s="2532"/>
      <c r="V23" s="1992"/>
      <c r="W23" s="2532"/>
      <c r="X23" s="1992"/>
      <c r="Y23" s="2532"/>
      <c r="Z23" s="1992"/>
      <c r="AA23" s="1992"/>
      <c r="AB23" s="1998">
        <v>0</v>
      </c>
      <c r="AC23" s="2029"/>
      <c r="AD23" s="1987">
        <f t="shared" si="2"/>
        <v>1.5</v>
      </c>
      <c r="AE23" s="1987"/>
      <c r="AF23" s="2031"/>
      <c r="AG23" s="2024">
        <f>'Exhibit G State'!AG23</f>
        <v>0.5</v>
      </c>
      <c r="AH23" s="3463"/>
      <c r="AI23" s="1999"/>
      <c r="AJ23" s="1436">
        <f>ROUND(SUM(+AD23-AG23),1)</f>
        <v>1</v>
      </c>
      <c r="AK23" s="2533"/>
      <c r="AL23" s="1431">
        <f>ROUND(IF(AG23=0,1,AJ23/ABS(AG23)),3)</f>
        <v>2</v>
      </c>
    </row>
    <row r="24" spans="1:38" ht="15" customHeight="1">
      <c r="A24" s="2036"/>
      <c r="B24" s="2537" t="s">
        <v>1015</v>
      </c>
      <c r="C24" s="2036"/>
      <c r="D24" s="1992">
        <f>'Exhibit G State'!D24</f>
        <v>7.2</v>
      </c>
      <c r="E24" s="1436"/>
      <c r="F24" s="1992"/>
      <c r="G24" s="1436"/>
      <c r="H24" s="1992"/>
      <c r="J24" s="1992"/>
      <c r="K24" s="2532"/>
      <c r="L24" s="1992"/>
      <c r="M24" s="2532"/>
      <c r="N24" s="1992"/>
      <c r="O24" s="2532"/>
      <c r="P24" s="1992"/>
      <c r="Q24" s="2532"/>
      <c r="R24" s="1992"/>
      <c r="S24" s="2532"/>
      <c r="T24" s="1992"/>
      <c r="U24" s="2532"/>
      <c r="V24" s="1992"/>
      <c r="W24" s="2532"/>
      <c r="X24" s="1992"/>
      <c r="Y24" s="2532"/>
      <c r="Z24" s="1992"/>
      <c r="AA24" s="1992"/>
      <c r="AB24" s="1998">
        <v>0</v>
      </c>
      <c r="AC24" s="2029"/>
      <c r="AD24" s="1987">
        <f t="shared" si="2"/>
        <v>7.2</v>
      </c>
      <c r="AE24" s="1987"/>
      <c r="AF24" s="2031"/>
      <c r="AG24" s="2024">
        <f>'Exhibit G State'!AG24</f>
        <v>6.5</v>
      </c>
      <c r="AH24" s="3463"/>
      <c r="AI24" s="1999"/>
      <c r="AJ24" s="1436">
        <f t="shared" si="0"/>
        <v>0.7</v>
      </c>
      <c r="AK24" s="2533"/>
      <c r="AL24" s="1431">
        <f t="shared" si="1"/>
        <v>0.108</v>
      </c>
    </row>
    <row r="25" spans="1:38" ht="15" customHeight="1">
      <c r="A25" s="2036"/>
      <c r="B25" s="2537" t="s">
        <v>1016</v>
      </c>
      <c r="C25" s="2036"/>
      <c r="D25" s="1992">
        <f>'Exhibit G State'!D25</f>
        <v>0</v>
      </c>
      <c r="E25" s="1436"/>
      <c r="F25" s="1992"/>
      <c r="G25" s="1436"/>
      <c r="H25" s="1992"/>
      <c r="J25" s="1992"/>
      <c r="K25" s="2532"/>
      <c r="L25" s="1992"/>
      <c r="M25" s="2532"/>
      <c r="N25" s="1992"/>
      <c r="O25" s="2532"/>
      <c r="P25" s="1992"/>
      <c r="Q25" s="2532"/>
      <c r="R25" s="1992"/>
      <c r="S25" s="2532"/>
      <c r="T25" s="1992"/>
      <c r="U25" s="2532"/>
      <c r="V25" s="1992"/>
      <c r="W25" s="2532"/>
      <c r="X25" s="1992"/>
      <c r="Y25" s="2532"/>
      <c r="Z25" s="1992"/>
      <c r="AA25" s="1992"/>
      <c r="AB25" s="1998">
        <v>0</v>
      </c>
      <c r="AC25" s="2029"/>
      <c r="AD25" s="1987">
        <f t="shared" si="2"/>
        <v>0</v>
      </c>
      <c r="AE25" s="1987"/>
      <c r="AF25" s="2031"/>
      <c r="AG25" s="2024">
        <f>'Exhibit G State'!AG25</f>
        <v>0</v>
      </c>
      <c r="AH25" s="3463"/>
      <c r="AI25" s="1999"/>
      <c r="AJ25" s="1436">
        <f t="shared" si="0"/>
        <v>0</v>
      </c>
      <c r="AK25" s="2533"/>
      <c r="AL25" s="1431">
        <f t="shared" si="1"/>
        <v>0</v>
      </c>
    </row>
    <row r="26" spans="1:38" ht="15" customHeight="1">
      <c r="A26" s="2036"/>
      <c r="B26" s="2537" t="s">
        <v>1017</v>
      </c>
      <c r="C26" s="2036"/>
      <c r="D26" s="1992">
        <f>'Exhibit G State'!D26</f>
        <v>0.1</v>
      </c>
      <c r="E26" s="1436"/>
      <c r="F26" s="1992"/>
      <c r="G26" s="1436"/>
      <c r="H26" s="1992"/>
      <c r="J26" s="1992"/>
      <c r="K26" s="2532"/>
      <c r="L26" s="1992"/>
      <c r="M26" s="2532"/>
      <c r="N26" s="1992"/>
      <c r="O26" s="2532"/>
      <c r="P26" s="1992"/>
      <c r="Q26" s="2532"/>
      <c r="R26" s="1992"/>
      <c r="S26" s="2532"/>
      <c r="T26" s="1992"/>
      <c r="U26" s="2532"/>
      <c r="V26" s="1992"/>
      <c r="W26" s="2532"/>
      <c r="X26" s="1992"/>
      <c r="Y26" s="2532"/>
      <c r="Z26" s="1992"/>
      <c r="AA26" s="1992"/>
      <c r="AB26" s="1998">
        <v>0</v>
      </c>
      <c r="AC26" s="2029"/>
      <c r="AD26" s="1987">
        <f t="shared" si="2"/>
        <v>0.1</v>
      </c>
      <c r="AE26" s="1987"/>
      <c r="AF26" s="2031"/>
      <c r="AG26" s="2024">
        <f>'Exhibit G State'!AG26</f>
        <v>0</v>
      </c>
      <c r="AH26" s="3463"/>
      <c r="AI26" s="1999"/>
      <c r="AJ26" s="1436">
        <f t="shared" si="0"/>
        <v>0.1</v>
      </c>
      <c r="AK26" s="2533"/>
      <c r="AL26" s="1472">
        <f>ROUND(IF(AG26=0,1,AJ26/ABS(AG26)),3)</f>
        <v>1</v>
      </c>
    </row>
    <row r="27" spans="1:38" ht="15" customHeight="1">
      <c r="A27" s="2036"/>
      <c r="B27" s="2225" t="s">
        <v>1353</v>
      </c>
      <c r="C27" s="2036"/>
      <c r="D27" s="1992">
        <f>'Exhibit G State'!D27</f>
        <v>0.2</v>
      </c>
      <c r="E27" s="1436"/>
      <c r="F27" s="1992"/>
      <c r="G27" s="1436"/>
      <c r="H27" s="1992"/>
      <c r="J27" s="1992"/>
      <c r="K27" s="2532"/>
      <c r="L27" s="1992"/>
      <c r="M27" s="2532"/>
      <c r="N27" s="1992"/>
      <c r="O27" s="2532"/>
      <c r="P27" s="1992"/>
      <c r="Q27" s="2532"/>
      <c r="R27" s="1992"/>
      <c r="S27" s="2532"/>
      <c r="T27" s="1992"/>
      <c r="U27" s="2532"/>
      <c r="V27" s="1992"/>
      <c r="W27" s="2532"/>
      <c r="X27" s="1992"/>
      <c r="Y27" s="2532"/>
      <c r="Z27" s="1992"/>
      <c r="AA27" s="1992"/>
      <c r="AB27" s="1998">
        <v>0</v>
      </c>
      <c r="AC27" s="2029"/>
      <c r="AD27" s="1987">
        <f t="shared" ref="AD27" si="3">ROUND(SUM(D27:Z27),1)</f>
        <v>0.2</v>
      </c>
      <c r="AE27" s="1987"/>
      <c r="AF27" s="2031"/>
      <c r="AG27" s="2024">
        <f>'Exhibit G State'!AG27</f>
        <v>0</v>
      </c>
      <c r="AH27" s="3463"/>
      <c r="AI27" s="1999"/>
      <c r="AJ27" s="1436">
        <f t="shared" ref="AJ27" si="4">ROUND(SUM(+AD27-AG27),1)</f>
        <v>0.2</v>
      </c>
      <c r="AK27" s="2533"/>
      <c r="AL27" s="1472">
        <f>ROUND(IF(AG27=0,1,AJ27/ABS(AG27)),3)</f>
        <v>1</v>
      </c>
    </row>
    <row r="28" spans="1:38" s="2419" customFormat="1" ht="15" customHeight="1">
      <c r="A28" s="2418"/>
      <c r="B28" s="2538" t="s">
        <v>1127</v>
      </c>
      <c r="C28" s="2418"/>
      <c r="D28" s="2025">
        <f>ROUND(SUM(D20:D27),1)</f>
        <v>187.7</v>
      </c>
      <c r="E28" s="2520"/>
      <c r="F28" s="2025">
        <f>ROUND(SUM(F20:F27),1)</f>
        <v>0</v>
      </c>
      <c r="G28" s="2520"/>
      <c r="H28" s="2465">
        <f>ROUND(SUM(H20:H27),1)</f>
        <v>0</v>
      </c>
      <c r="I28" s="2520"/>
      <c r="J28" s="2465">
        <f>ROUND(SUM(J20:J27),1)</f>
        <v>0</v>
      </c>
      <c r="K28" s="2520"/>
      <c r="L28" s="2025">
        <f>ROUND(SUM(L20:L27),1)</f>
        <v>0</v>
      </c>
      <c r="M28" s="2520"/>
      <c r="N28" s="2025">
        <f>ROUND(SUM(N20:N27),1)</f>
        <v>0</v>
      </c>
      <c r="O28" s="2520"/>
      <c r="P28" s="2025">
        <f>ROUND(SUM(P20:P27),1)</f>
        <v>0</v>
      </c>
      <c r="Q28" s="2520"/>
      <c r="R28" s="2025">
        <f>ROUND(SUM(R20:R27),1)</f>
        <v>0</v>
      </c>
      <c r="S28" s="2520"/>
      <c r="T28" s="2009">
        <f>ROUND(SUM(T20:T27),1)</f>
        <v>0</v>
      </c>
      <c r="U28" s="2520"/>
      <c r="V28" s="2025">
        <f>ROUND(SUM(V20:V27),1)</f>
        <v>0</v>
      </c>
      <c r="W28" s="2520"/>
      <c r="X28" s="2025">
        <f>ROUND(SUM(X20:X27),1)</f>
        <v>0</v>
      </c>
      <c r="Y28" s="2520"/>
      <c r="Z28" s="2025">
        <f>ROUND(SUM(Z20:Z27),1)</f>
        <v>0</v>
      </c>
      <c r="AA28" s="1437"/>
      <c r="AB28" s="2025">
        <f>ROUND(SUM(AB20:AB27),1)</f>
        <v>0</v>
      </c>
      <c r="AC28" s="2032"/>
      <c r="AD28" s="2009">
        <f>ROUND(SUM(AD20:AD27),1)</f>
        <v>187.7</v>
      </c>
      <c r="AE28" s="2042"/>
      <c r="AF28" s="2544"/>
      <c r="AG28" s="2009">
        <f>ROUND(SUM(AG20:AG27),1)</f>
        <v>156</v>
      </c>
      <c r="AH28" s="3466"/>
      <c r="AI28" s="1437"/>
      <c r="AJ28" s="2025">
        <f>ROUND(SUM(AJ20:AJ27),1)</f>
        <v>31.7</v>
      </c>
      <c r="AL28" s="2539">
        <f>ROUND(SUM(+AJ28/AG28),3)</f>
        <v>0.20300000000000001</v>
      </c>
    </row>
    <row r="29" spans="1:38" ht="15" customHeight="1">
      <c r="A29" s="2036"/>
      <c r="B29" s="2531" t="s">
        <v>1060</v>
      </c>
      <c r="C29" s="2036"/>
      <c r="D29" s="1998"/>
      <c r="F29" s="1998"/>
      <c r="H29" s="1436"/>
      <c r="J29" s="1436"/>
      <c r="L29" s="1998"/>
      <c r="N29" s="1998"/>
      <c r="P29" s="1998"/>
      <c r="R29" s="1998"/>
      <c r="T29" s="1987"/>
      <c r="V29" s="1998"/>
      <c r="X29" s="1998"/>
      <c r="Z29" s="1998"/>
      <c r="AA29" s="1998"/>
      <c r="AB29" s="1998"/>
      <c r="AC29" s="2029"/>
      <c r="AD29" s="1987"/>
      <c r="AE29" s="1987"/>
      <c r="AF29" s="2031"/>
      <c r="AG29" s="1987"/>
      <c r="AH29" s="3463"/>
      <c r="AI29" s="1999"/>
      <c r="AJ29" s="1436"/>
      <c r="AL29" s="1425"/>
    </row>
    <row r="30" spans="1:38" s="2177" customFormat="1" ht="15" customHeight="1">
      <c r="A30" s="2456"/>
      <c r="B30" s="2537" t="s">
        <v>1019</v>
      </c>
      <c r="C30" s="2456"/>
      <c r="D30" s="1987">
        <f>'Exhibit G State'!D30</f>
        <v>154.6</v>
      </c>
      <c r="E30" s="1436"/>
      <c r="F30" s="1987"/>
      <c r="G30" s="1436"/>
      <c r="H30" s="1987"/>
      <c r="I30" s="2520"/>
      <c r="J30" s="1987"/>
      <c r="K30" s="2532"/>
      <c r="L30" s="1987"/>
      <c r="M30" s="2532"/>
      <c r="N30" s="1987"/>
      <c r="O30" s="2532"/>
      <c r="P30" s="1987"/>
      <c r="Q30" s="2532"/>
      <c r="R30" s="1987"/>
      <c r="S30" s="2532"/>
      <c r="T30" s="1987"/>
      <c r="U30" s="2532"/>
      <c r="V30" s="1987"/>
      <c r="W30" s="2532"/>
      <c r="X30" s="1987"/>
      <c r="Y30" s="2532"/>
      <c r="Z30" s="1987"/>
      <c r="AA30" s="1987"/>
      <c r="AB30" s="1987">
        <v>0</v>
      </c>
      <c r="AC30" s="2031"/>
      <c r="AD30" s="1987">
        <f>ROUND(SUM(D30:Z30),1)</f>
        <v>154.6</v>
      </c>
      <c r="AE30" s="1987"/>
      <c r="AF30" s="2031"/>
      <c r="AG30" s="1987">
        <f>'Exhibit G State'!AG30</f>
        <v>57</v>
      </c>
      <c r="AH30" s="3463"/>
      <c r="AI30" s="1969"/>
      <c r="AJ30" s="1992">
        <f>ROUND(SUM(+AD30-AG30),1)</f>
        <v>97.6</v>
      </c>
      <c r="AK30" s="2540"/>
      <c r="AL30" s="1716">
        <f>ROUND(IF(AG30=0,0,AJ30/ABS(AG30)),3)</f>
        <v>1.712</v>
      </c>
    </row>
    <row r="31" spans="1:38" s="2177" customFormat="1" ht="15" customHeight="1">
      <c r="A31" s="2456"/>
      <c r="B31" s="2537" t="s">
        <v>1020</v>
      </c>
      <c r="C31" s="2456"/>
      <c r="D31" s="1987">
        <f>'Exhibit G State'!D31</f>
        <v>19.3</v>
      </c>
      <c r="E31" s="1436"/>
      <c r="F31" s="1987"/>
      <c r="G31" s="1436"/>
      <c r="H31" s="1987"/>
      <c r="I31" s="2520"/>
      <c r="J31" s="1987"/>
      <c r="K31" s="2532"/>
      <c r="L31" s="1987"/>
      <c r="M31" s="2532"/>
      <c r="N31" s="1987"/>
      <c r="O31" s="2532"/>
      <c r="P31" s="1987"/>
      <c r="Q31" s="2532"/>
      <c r="R31" s="1987"/>
      <c r="S31" s="2532"/>
      <c r="T31" s="1987"/>
      <c r="U31" s="2532"/>
      <c r="V31" s="1987"/>
      <c r="W31" s="2532"/>
      <c r="X31" s="1987"/>
      <c r="Y31" s="2532"/>
      <c r="Z31" s="1987"/>
      <c r="AA31" s="1987"/>
      <c r="AB31" s="1987">
        <v>0</v>
      </c>
      <c r="AC31" s="2031"/>
      <c r="AD31" s="1987">
        <f>ROUND(SUM(D31:Z31),1)</f>
        <v>19.3</v>
      </c>
      <c r="AE31" s="1987"/>
      <c r="AF31" s="2031"/>
      <c r="AG31" s="1987">
        <f>'Exhibit G State'!AG31</f>
        <v>2.2000000000000002</v>
      </c>
      <c r="AH31" s="3463"/>
      <c r="AI31" s="1969"/>
      <c r="AJ31" s="1992">
        <f>ROUND(SUM(+AD31-AG31),1)</f>
        <v>17.100000000000001</v>
      </c>
      <c r="AK31" s="2540"/>
      <c r="AL31" s="1716">
        <f>ROUND(IF(AG31=0,0,AJ31/ABS(AG31)),3)</f>
        <v>7.7729999999999997</v>
      </c>
    </row>
    <row r="32" spans="1:38" s="2177" customFormat="1" ht="15" customHeight="1">
      <c r="A32" s="2456"/>
      <c r="B32" s="2537" t="s">
        <v>1021</v>
      </c>
      <c r="C32" s="2456"/>
      <c r="D32" s="1987">
        <f>'Exhibit G State'!D32</f>
        <v>-8.8000000000000007</v>
      </c>
      <c r="E32" s="1436"/>
      <c r="F32" s="1987"/>
      <c r="G32" s="1436"/>
      <c r="H32" s="1987"/>
      <c r="I32" s="2520"/>
      <c r="J32" s="1987"/>
      <c r="K32" s="2532"/>
      <c r="L32" s="1987"/>
      <c r="M32" s="2532"/>
      <c r="N32" s="1987"/>
      <c r="O32" s="2532"/>
      <c r="P32" s="1987"/>
      <c r="Q32" s="2532"/>
      <c r="R32" s="1987"/>
      <c r="S32" s="2532"/>
      <c r="T32" s="1987"/>
      <c r="U32" s="2532"/>
      <c r="V32" s="1987"/>
      <c r="W32" s="2532"/>
      <c r="X32" s="1987"/>
      <c r="Y32" s="2532"/>
      <c r="Z32" s="1987"/>
      <c r="AA32" s="1987"/>
      <c r="AB32" s="1987">
        <v>0</v>
      </c>
      <c r="AC32" s="2031"/>
      <c r="AD32" s="1987">
        <f>ROUND(SUM(D32:Z32),1)</f>
        <v>-8.8000000000000007</v>
      </c>
      <c r="AE32" s="1987"/>
      <c r="AF32" s="2031"/>
      <c r="AG32" s="1987">
        <f>'Exhibit G State'!AG32</f>
        <v>7.2</v>
      </c>
      <c r="AH32" s="3463"/>
      <c r="AI32" s="1969"/>
      <c r="AJ32" s="1992">
        <f>ROUND(SUM(+AD32-AG32),1)</f>
        <v>-16</v>
      </c>
      <c r="AK32" s="2540"/>
      <c r="AL32" s="1721">
        <f>ROUND(IF(AG32=0,0,AJ32/ABS(AG32)),3)</f>
        <v>-2.222</v>
      </c>
    </row>
    <row r="33" spans="1:38" s="2177" customFormat="1" ht="15" customHeight="1">
      <c r="A33" s="2456"/>
      <c r="B33" s="2537" t="s">
        <v>1022</v>
      </c>
      <c r="C33" s="2456"/>
      <c r="D33" s="1987">
        <f>'Exhibit G State'!D33</f>
        <v>3.1</v>
      </c>
      <c r="E33" s="1436"/>
      <c r="F33" s="1987"/>
      <c r="G33" s="1436"/>
      <c r="H33" s="1987"/>
      <c r="I33" s="2520"/>
      <c r="J33" s="1987"/>
      <c r="K33" s="2532"/>
      <c r="L33" s="1987"/>
      <c r="M33" s="2532"/>
      <c r="N33" s="1987"/>
      <c r="O33" s="2532"/>
      <c r="P33" s="1987"/>
      <c r="Q33" s="2532"/>
      <c r="R33" s="1987"/>
      <c r="S33" s="2532"/>
      <c r="T33" s="1987"/>
      <c r="U33" s="2532"/>
      <c r="V33" s="1987"/>
      <c r="W33" s="2532"/>
      <c r="X33" s="1987"/>
      <c r="Y33" s="2532"/>
      <c r="Z33" s="1987"/>
      <c r="AA33" s="1987"/>
      <c r="AB33" s="1987">
        <v>0</v>
      </c>
      <c r="AC33" s="2031"/>
      <c r="AD33" s="1987">
        <f>ROUND(SUM(D33:Z33),1)</f>
        <v>3.1</v>
      </c>
      <c r="AE33" s="1987"/>
      <c r="AF33" s="2031"/>
      <c r="AG33" s="1987">
        <f>'Exhibit G State'!AG33</f>
        <v>1.3</v>
      </c>
      <c r="AH33" s="3463"/>
      <c r="AI33" s="1969"/>
      <c r="AJ33" s="1992">
        <f>ROUND(SUM(+AD33-AG33),1)</f>
        <v>1.8</v>
      </c>
      <c r="AK33" s="2540"/>
      <c r="AL33" s="1721">
        <f>ROUND(IF(AG33=0,0,AJ33/ABS(AG33)),3)</f>
        <v>1.385</v>
      </c>
    </row>
    <row r="34" spans="1:38" s="2177" customFormat="1" ht="15" customHeight="1">
      <c r="A34" s="2456"/>
      <c r="B34" s="2537" t="s">
        <v>1023</v>
      </c>
      <c r="C34" s="2456"/>
      <c r="D34" s="1987">
        <f>'Exhibit G State'!D34</f>
        <v>30.7</v>
      </c>
      <c r="E34" s="1436"/>
      <c r="F34" s="1987"/>
      <c r="G34" s="1436"/>
      <c r="H34" s="1987"/>
      <c r="I34" s="2520"/>
      <c r="J34" s="1987"/>
      <c r="K34" s="2532"/>
      <c r="L34" s="1987"/>
      <c r="M34" s="2532"/>
      <c r="N34" s="1987"/>
      <c r="O34" s="2532"/>
      <c r="P34" s="1987"/>
      <c r="Q34" s="2532"/>
      <c r="R34" s="1987"/>
      <c r="S34" s="2532"/>
      <c r="T34" s="1987"/>
      <c r="U34" s="2532"/>
      <c r="V34" s="1987"/>
      <c r="W34" s="2532"/>
      <c r="X34" s="1987"/>
      <c r="Y34" s="2532"/>
      <c r="Z34" s="1987"/>
      <c r="AA34" s="1987"/>
      <c r="AB34" s="1987">
        <v>0</v>
      </c>
      <c r="AC34" s="2031"/>
      <c r="AD34" s="1987">
        <f>ROUND(SUM(D34:Z34),1)</f>
        <v>30.7</v>
      </c>
      <c r="AE34" s="1987"/>
      <c r="AF34" s="2031"/>
      <c r="AG34" s="1987">
        <f>'Exhibit G State'!AG34</f>
        <v>30.3</v>
      </c>
      <c r="AH34" s="3463"/>
      <c r="AI34" s="1969"/>
      <c r="AJ34" s="1992">
        <f>ROUND(SUM(+AD34-AG34),1)</f>
        <v>0.4</v>
      </c>
      <c r="AK34" s="2540"/>
      <c r="AL34" s="1716">
        <f>ROUND(IF(AG34=0,0,AJ34/ABS(AG34)),3)</f>
        <v>1.2999999999999999E-2</v>
      </c>
    </row>
    <row r="35" spans="1:38" s="2419" customFormat="1" ht="15" customHeight="1">
      <c r="A35" s="2418"/>
      <c r="B35" s="2538" t="s">
        <v>1128</v>
      </c>
      <c r="C35" s="2418"/>
      <c r="D35" s="2025">
        <f t="shared" ref="D35:F35" si="5">ROUND(SUM(D30:D34),1)</f>
        <v>198.9</v>
      </c>
      <c r="E35" s="2520"/>
      <c r="F35" s="2025">
        <f t="shared" si="5"/>
        <v>0</v>
      </c>
      <c r="G35" s="2520"/>
      <c r="H35" s="2465">
        <f>ROUND(SUM(H30:H34),1)</f>
        <v>0</v>
      </c>
      <c r="I35" s="2520"/>
      <c r="J35" s="2465">
        <f>ROUND(SUM(J30:J34),1)</f>
        <v>0</v>
      </c>
      <c r="K35" s="2520"/>
      <c r="L35" s="2025">
        <f t="shared" ref="L35:V35" si="6">ROUND(SUM(L30:L34),1)</f>
        <v>0</v>
      </c>
      <c r="M35" s="2520"/>
      <c r="N35" s="2025">
        <f t="shared" ref="N35:P35" si="7">ROUND(SUM(N30:N34),1)</f>
        <v>0</v>
      </c>
      <c r="O35" s="2520"/>
      <c r="P35" s="2025">
        <f t="shared" si="7"/>
        <v>0</v>
      </c>
      <c r="Q35" s="2520"/>
      <c r="R35" s="2025">
        <f t="shared" ref="R35" si="8">ROUND(SUM(R30:R34),1)</f>
        <v>0</v>
      </c>
      <c r="S35" s="2520"/>
      <c r="T35" s="2009">
        <f t="shared" si="6"/>
        <v>0</v>
      </c>
      <c r="U35" s="2520"/>
      <c r="V35" s="2025">
        <f t="shared" si="6"/>
        <v>0</v>
      </c>
      <c r="W35" s="2520"/>
      <c r="X35" s="2025">
        <f t="shared" ref="X35:Z35" si="9">ROUND(SUM(X30:X34),1)</f>
        <v>0</v>
      </c>
      <c r="Y35" s="2520"/>
      <c r="Z35" s="2025">
        <f t="shared" si="9"/>
        <v>0</v>
      </c>
      <c r="AA35" s="1437"/>
      <c r="AB35" s="2025">
        <f>SUM(AB30:AB34)</f>
        <v>0</v>
      </c>
      <c r="AC35" s="2032"/>
      <c r="AD35" s="2009">
        <f>ROUND(SUM(AD30:AD34),1)</f>
        <v>198.9</v>
      </c>
      <c r="AE35" s="2042"/>
      <c r="AF35" s="2544"/>
      <c r="AG35" s="2009">
        <f>ROUND(SUM(AG30:AG34),1)</f>
        <v>98</v>
      </c>
      <c r="AH35" s="3466"/>
      <c r="AI35" s="1437"/>
      <c r="AJ35" s="2025">
        <f>ROUND(SUM(AJ30:AJ34),1)</f>
        <v>100.9</v>
      </c>
      <c r="AL35" s="1427">
        <f>ROUND(SUM(+AJ35/AG35),3)</f>
        <v>1.03</v>
      </c>
    </row>
    <row r="36" spans="1:38" ht="15" customHeight="1">
      <c r="A36" s="2036"/>
      <c r="B36" s="2541"/>
      <c r="C36" s="2036"/>
      <c r="D36" s="1999"/>
      <c r="F36" s="1999"/>
      <c r="H36" s="2468"/>
      <c r="J36" s="2468"/>
      <c r="L36" s="1999"/>
      <c r="N36" s="1999"/>
      <c r="P36" s="1999"/>
      <c r="R36" s="1999"/>
      <c r="T36" s="1969"/>
      <c r="V36" s="1999"/>
      <c r="X36" s="1999"/>
      <c r="Z36" s="1999"/>
      <c r="AA36" s="1999"/>
      <c r="AB36" s="1998"/>
      <c r="AC36" s="2029"/>
      <c r="AD36" s="1969"/>
      <c r="AE36" s="1987"/>
      <c r="AF36" s="2031"/>
      <c r="AG36" s="1969"/>
      <c r="AH36" s="3463"/>
      <c r="AI36" s="1999"/>
      <c r="AJ36" s="2468"/>
      <c r="AK36" s="2013"/>
      <c r="AL36" s="1440"/>
    </row>
    <row r="37" spans="1:38" ht="15" customHeight="1">
      <c r="A37" s="2036"/>
      <c r="B37" s="2538" t="s">
        <v>1129</v>
      </c>
      <c r="C37" s="2036"/>
      <c r="D37" s="2044">
        <f>ROUND(SUM(D17+D28+D35),1)</f>
        <v>386.6</v>
      </c>
      <c r="F37" s="2044">
        <f>ROUND(SUM(F17+F28+F35),1)</f>
        <v>0</v>
      </c>
      <c r="H37" s="2044">
        <f>ROUND(SUM(H17+H28+H35),1)</f>
        <v>0</v>
      </c>
      <c r="J37" s="2044">
        <f>ROUND(SUM(J17+J28+J35),1)</f>
        <v>0</v>
      </c>
      <c r="L37" s="2044">
        <f>ROUND(SUM(L17+L28+L35),1)</f>
        <v>0</v>
      </c>
      <c r="N37" s="2044">
        <f>ROUND(SUM(N17+N28+N35),1)</f>
        <v>0</v>
      </c>
      <c r="P37" s="2044">
        <f>ROUND(SUM(P17+P28+P35),1)</f>
        <v>0</v>
      </c>
      <c r="R37" s="2044">
        <f>ROUND(SUM(R17+R28+R35),1)</f>
        <v>0</v>
      </c>
      <c r="T37" s="2044">
        <f>ROUND(SUM(T17+T28+T35),1)</f>
        <v>0</v>
      </c>
      <c r="V37" s="2044">
        <f>ROUND(SUM(V17+V28+V35),1)</f>
        <v>0</v>
      </c>
      <c r="X37" s="2044">
        <f>ROUND(SUM(X17+X28+X35),1)</f>
        <v>0</v>
      </c>
      <c r="Z37" s="2044">
        <f>ROUND(SUM(Z17+Z28+Z35),1)</f>
        <v>0</v>
      </c>
      <c r="AA37" s="1437"/>
      <c r="AB37" s="2044">
        <f>ROUND(SUM(AB17+AB28+AB35),1)</f>
        <v>0</v>
      </c>
      <c r="AC37" s="2029"/>
      <c r="AD37" s="2046">
        <f>ROUND(SUM(AD17+AD28+AD35),1)</f>
        <v>386.6</v>
      </c>
      <c r="AE37" s="1987"/>
      <c r="AF37" s="2031"/>
      <c r="AG37" s="2046">
        <f>ROUND(SUM(AG17+AG28+AG35),1)</f>
        <v>254</v>
      </c>
      <c r="AH37" s="3463"/>
      <c r="AI37" s="1999"/>
      <c r="AJ37" s="2044">
        <f>ROUND(SUM(AJ17+AJ28+AJ35),1)</f>
        <v>132.6</v>
      </c>
      <c r="AL37" s="1428">
        <f>ROUND(SUM(+AJ37/AG37),3)</f>
        <v>0.52200000000000002</v>
      </c>
    </row>
    <row r="38" spans="1:38" ht="15" customHeight="1">
      <c r="A38" s="2036"/>
      <c r="B38" s="2036"/>
      <c r="C38" s="2036"/>
      <c r="D38" s="2540"/>
      <c r="F38" s="2540"/>
      <c r="H38" s="2542"/>
      <c r="J38" s="2542"/>
      <c r="L38" s="2542"/>
      <c r="N38" s="2542"/>
      <c r="P38" s="2542"/>
      <c r="R38" s="2542"/>
      <c r="T38" s="1986"/>
      <c r="V38" s="2007"/>
      <c r="X38" s="2007"/>
      <c r="Z38" s="2007"/>
      <c r="AA38" s="2540"/>
      <c r="AB38" s="1998"/>
      <c r="AC38" s="2029"/>
      <c r="AD38" s="1987"/>
      <c r="AE38" s="1987"/>
      <c r="AF38" s="2031"/>
      <c r="AG38" s="2112"/>
      <c r="AH38" s="3467"/>
      <c r="AI38" s="1999"/>
      <c r="AJ38" s="1436"/>
      <c r="AK38" s="2533"/>
      <c r="AL38" s="1425"/>
    </row>
    <row r="39" spans="1:38" ht="15" customHeight="1">
      <c r="A39" s="2036"/>
      <c r="B39" s="2453" t="s">
        <v>933</v>
      </c>
      <c r="C39" s="2036"/>
      <c r="D39" s="2540"/>
      <c r="F39" s="2540"/>
      <c r="H39" s="2542"/>
      <c r="J39" s="2542"/>
      <c r="L39" s="2542"/>
      <c r="N39" s="2542"/>
      <c r="P39" s="2542"/>
      <c r="R39" s="2542"/>
      <c r="T39" s="1986"/>
      <c r="V39" s="2007"/>
      <c r="X39" s="2007"/>
      <c r="Z39" s="2007"/>
      <c r="AA39" s="2540"/>
      <c r="AB39" s="1998"/>
      <c r="AC39" s="2029"/>
      <c r="AD39" s="1987"/>
      <c r="AE39" s="1987"/>
      <c r="AF39" s="2031"/>
      <c r="AG39" s="2112"/>
      <c r="AH39" s="3467"/>
      <c r="AI39" s="1999"/>
      <c r="AJ39" s="1436"/>
      <c r="AK39" s="2533"/>
      <c r="AL39" s="1425"/>
    </row>
    <row r="40" spans="1:38" ht="15" customHeight="1">
      <c r="A40" s="2036"/>
      <c r="B40" s="2476" t="s">
        <v>1052</v>
      </c>
      <c r="C40" s="2036"/>
      <c r="D40" s="2540"/>
      <c r="F40" s="2540"/>
      <c r="H40" s="2542"/>
      <c r="J40" s="2542"/>
      <c r="L40" s="2542"/>
      <c r="N40" s="2542"/>
      <c r="P40" s="2542"/>
      <c r="R40" s="2542"/>
      <c r="T40" s="1986"/>
      <c r="V40" s="2007"/>
      <c r="X40" s="2007"/>
      <c r="Z40" s="2007"/>
      <c r="AA40" s="2540"/>
      <c r="AB40" s="1998"/>
      <c r="AC40" s="2029"/>
      <c r="AD40" s="1987"/>
      <c r="AE40" s="1987"/>
      <c r="AF40" s="2031"/>
      <c r="AG40" s="2112"/>
      <c r="AH40" s="3467"/>
      <c r="AI40" s="1999"/>
      <c r="AJ40" s="1436"/>
      <c r="AK40" s="2533"/>
      <c r="AL40" s="1425"/>
    </row>
    <row r="41" spans="1:38" s="2177" customFormat="1" ht="15" customHeight="1">
      <c r="A41" s="2456"/>
      <c r="B41" s="2476" t="s">
        <v>966</v>
      </c>
      <c r="C41" s="2456"/>
      <c r="D41" s="2024">
        <f>'Exhibit G State'!D41+'Exhibit G Federal'!D19</f>
        <v>0.9</v>
      </c>
      <c r="E41" s="2542"/>
      <c r="F41" s="2024"/>
      <c r="G41" s="2542"/>
      <c r="H41" s="2024"/>
      <c r="I41" s="2520"/>
      <c r="J41" s="2024"/>
      <c r="K41" s="2532"/>
      <c r="L41" s="2024"/>
      <c r="M41" s="2532"/>
      <c r="N41" s="2024"/>
      <c r="O41" s="2532"/>
      <c r="P41" s="2024"/>
      <c r="Q41" s="2532"/>
      <c r="R41" s="2024"/>
      <c r="S41" s="2532"/>
      <c r="T41" s="2024"/>
      <c r="U41" s="2532"/>
      <c r="V41" s="2024"/>
      <c r="W41" s="2532"/>
      <c r="X41" s="1992"/>
      <c r="Y41" s="2532"/>
      <c r="Z41" s="2024"/>
      <c r="AA41" s="2024"/>
      <c r="AB41" s="1987">
        <v>0</v>
      </c>
      <c r="AC41" s="2031"/>
      <c r="AD41" s="1987">
        <f t="shared" ref="AD41:AD82" si="10">ROUND(SUM(D41:Z41),1)</f>
        <v>0.9</v>
      </c>
      <c r="AE41" s="1987"/>
      <c r="AF41" s="2031"/>
      <c r="AG41" s="2024">
        <f>'Exhibit G State'!AG41+'Exhibit G Federal'!AG19</f>
        <v>1.2000000000000002</v>
      </c>
      <c r="AH41" s="3467"/>
      <c r="AI41" s="1969"/>
      <c r="AJ41" s="1992">
        <f>ROUND(SUM(+AD41-AG41),1)</f>
        <v>-0.3</v>
      </c>
      <c r="AK41" s="2540"/>
      <c r="AL41" s="1716">
        <f>ROUND(IF(AG41=0,0,AJ41/ABS(AG41)),3)</f>
        <v>-0.25</v>
      </c>
    </row>
    <row r="42" spans="1:38" s="2177" customFormat="1" ht="15" customHeight="1">
      <c r="A42" s="2456"/>
      <c r="B42" s="2476" t="s">
        <v>1053</v>
      </c>
      <c r="C42" s="2456"/>
      <c r="D42" s="2024"/>
      <c r="E42" s="2520"/>
      <c r="F42" s="2024"/>
      <c r="G42" s="2520"/>
      <c r="H42" s="2024"/>
      <c r="I42" s="2520"/>
      <c r="J42" s="2024"/>
      <c r="K42" s="2532"/>
      <c r="L42" s="2024"/>
      <c r="M42" s="2532"/>
      <c r="N42" s="2024"/>
      <c r="O42" s="2532"/>
      <c r="P42" s="2024"/>
      <c r="Q42" s="2532"/>
      <c r="R42" s="2024"/>
      <c r="S42" s="2532"/>
      <c r="T42" s="2024"/>
      <c r="U42" s="2532"/>
      <c r="V42" s="2024"/>
      <c r="W42" s="2532"/>
      <c r="X42" s="1992"/>
      <c r="Y42" s="2532"/>
      <c r="Z42" s="2024"/>
      <c r="AA42" s="2024"/>
      <c r="AB42" s="1987"/>
      <c r="AC42" s="2031"/>
      <c r="AD42" s="1987"/>
      <c r="AE42" s="1987"/>
      <c r="AF42" s="2031"/>
      <c r="AG42" s="2024"/>
      <c r="AH42" s="3467"/>
      <c r="AI42" s="1969"/>
      <c r="AJ42" s="1992"/>
      <c r="AK42" s="2540"/>
      <c r="AL42" s="1810"/>
    </row>
    <row r="43" spans="1:38" s="2177" customFormat="1" ht="15" customHeight="1">
      <c r="A43" s="2456"/>
      <c r="B43" s="2476" t="s">
        <v>968</v>
      </c>
      <c r="C43" s="2456"/>
      <c r="D43" s="2024">
        <f>'Exhibit G State'!D43+'Exhibit G Federal'!D21</f>
        <v>69.2</v>
      </c>
      <c r="E43" s="2024"/>
      <c r="F43" s="2024"/>
      <c r="G43" s="2024"/>
      <c r="H43" s="2024"/>
      <c r="I43" s="2520"/>
      <c r="J43" s="2024"/>
      <c r="K43" s="2532"/>
      <c r="L43" s="2024"/>
      <c r="M43" s="2532"/>
      <c r="N43" s="2024"/>
      <c r="O43" s="2532"/>
      <c r="P43" s="2024"/>
      <c r="Q43" s="2532"/>
      <c r="R43" s="2024"/>
      <c r="S43" s="2532"/>
      <c r="T43" s="2024"/>
      <c r="U43" s="2532"/>
      <c r="V43" s="2024"/>
      <c r="W43" s="2532"/>
      <c r="X43" s="1992"/>
      <c r="Y43" s="2532"/>
      <c r="Z43" s="2024"/>
      <c r="AA43" s="2024"/>
      <c r="AB43" s="1987">
        <v>0</v>
      </c>
      <c r="AC43" s="2031"/>
      <c r="AD43" s="1987">
        <f>ROUND(SUM(D43:Z43),1)</f>
        <v>69.2</v>
      </c>
      <c r="AE43" s="1987"/>
      <c r="AF43" s="2031"/>
      <c r="AG43" s="2024">
        <f>'Exhibit G State'!AG43+'Exhibit G Federal'!AG21</f>
        <v>46.7</v>
      </c>
      <c r="AH43" s="3467"/>
      <c r="AI43" s="1969"/>
      <c r="AJ43" s="1992">
        <f>ROUND(SUM(+AD43-AG43),1)</f>
        <v>22.5</v>
      </c>
      <c r="AK43" s="2540"/>
      <c r="AL43" s="1716">
        <f>ROUND(IF(AG43=0,0,AJ43/ABS(AG43)),3)</f>
        <v>0.48199999999999998</v>
      </c>
    </row>
    <row r="44" spans="1:38" s="2177" customFormat="1" ht="15" customHeight="1">
      <c r="A44" s="2456"/>
      <c r="B44" s="2476" t="s">
        <v>969</v>
      </c>
      <c r="C44" s="2456"/>
      <c r="D44" s="2024">
        <f>'Exhibit G State'!D44+'Exhibit G Federal'!D22</f>
        <v>482.7</v>
      </c>
      <c r="E44" s="2024"/>
      <c r="F44" s="2024"/>
      <c r="G44" s="2024"/>
      <c r="H44" s="2024"/>
      <c r="I44" s="2520"/>
      <c r="J44" s="2024"/>
      <c r="K44" s="2532"/>
      <c r="L44" s="2024"/>
      <c r="M44" s="2532"/>
      <c r="N44" s="2024"/>
      <c r="O44" s="2532"/>
      <c r="P44" s="2024"/>
      <c r="Q44" s="2532"/>
      <c r="R44" s="2024"/>
      <c r="S44" s="2532"/>
      <c r="T44" s="2024"/>
      <c r="U44" s="2532"/>
      <c r="V44" s="2024"/>
      <c r="W44" s="2532"/>
      <c r="X44" s="1992"/>
      <c r="Y44" s="2532"/>
      <c r="Z44" s="2024"/>
      <c r="AA44" s="2024"/>
      <c r="AB44" s="1987">
        <v>0</v>
      </c>
      <c r="AC44" s="2031"/>
      <c r="AD44" s="1992">
        <f t="shared" si="10"/>
        <v>482.7</v>
      </c>
      <c r="AE44" s="1987"/>
      <c r="AF44" s="2031"/>
      <c r="AG44" s="2024">
        <f>'Exhibit G State'!AG44+'Exhibit G Federal'!AG22</f>
        <v>569.29999999999995</v>
      </c>
      <c r="AH44" s="3467"/>
      <c r="AI44" s="1969"/>
      <c r="AJ44" s="1992">
        <f>ROUND(SUM(+AD44-AG44),1)</f>
        <v>-86.6</v>
      </c>
      <c r="AK44" s="2540"/>
      <c r="AL44" s="1716">
        <f>ROUND(IF(AG44=0,0,AJ44/ABS(AG44)),3)</f>
        <v>-0.152</v>
      </c>
    </row>
    <row r="45" spans="1:38" s="2177" customFormat="1" ht="15" customHeight="1">
      <c r="A45" s="2456"/>
      <c r="B45" s="2476" t="s">
        <v>970</v>
      </c>
      <c r="C45" s="2456"/>
      <c r="D45" s="2024">
        <f>'Exhibit G State'!D45+'Exhibit G Federal'!D23</f>
        <v>1.5</v>
      </c>
      <c r="E45" s="2024"/>
      <c r="F45" s="2024"/>
      <c r="G45" s="2024"/>
      <c r="H45" s="2024"/>
      <c r="I45" s="2520"/>
      <c r="J45" s="2024"/>
      <c r="K45" s="2532"/>
      <c r="L45" s="2024"/>
      <c r="M45" s="2532"/>
      <c r="N45" s="2024"/>
      <c r="O45" s="2532"/>
      <c r="P45" s="2024"/>
      <c r="Q45" s="2532"/>
      <c r="R45" s="2024"/>
      <c r="S45" s="2532"/>
      <c r="T45" s="2024"/>
      <c r="U45" s="2532"/>
      <c r="V45" s="2024"/>
      <c r="W45" s="2532"/>
      <c r="X45" s="1992"/>
      <c r="Y45" s="2532"/>
      <c r="Z45" s="2024"/>
      <c r="AA45" s="2024"/>
      <c r="AB45" s="1987">
        <v>0</v>
      </c>
      <c r="AC45" s="2031"/>
      <c r="AD45" s="1987">
        <f t="shared" si="10"/>
        <v>1.5</v>
      </c>
      <c r="AE45" s="1987"/>
      <c r="AF45" s="2031"/>
      <c r="AG45" s="2024">
        <f>'Exhibit G State'!AG45+'Exhibit G Federal'!AG23</f>
        <v>0.1</v>
      </c>
      <c r="AH45" s="3467"/>
      <c r="AI45" s="1969"/>
      <c r="AJ45" s="1992">
        <f>ROUND(SUM(+AD45-AG45),1)</f>
        <v>1.4</v>
      </c>
      <c r="AK45" s="2540"/>
      <c r="AL45" s="3767">
        <f>ROUND(IF(AG45=0,0,AJ45/ABS(AG45)),3)</f>
        <v>14</v>
      </c>
    </row>
    <row r="46" spans="1:38" s="2177" customFormat="1" ht="15" customHeight="1">
      <c r="A46" s="2456"/>
      <c r="B46" s="2476" t="s">
        <v>971</v>
      </c>
      <c r="C46" s="2456"/>
      <c r="D46" s="2024">
        <f>'Exhibit G State'!D46+'Exhibit G Federal'!D24</f>
        <v>0</v>
      </c>
      <c r="E46" s="2024"/>
      <c r="F46" s="2024"/>
      <c r="G46" s="2024"/>
      <c r="H46" s="2024"/>
      <c r="I46" s="2520"/>
      <c r="J46" s="2024"/>
      <c r="K46" s="2532"/>
      <c r="L46" s="2024"/>
      <c r="M46" s="2532"/>
      <c r="N46" s="2024"/>
      <c r="O46" s="2532"/>
      <c r="P46" s="2024"/>
      <c r="Q46" s="2532"/>
      <c r="R46" s="2024"/>
      <c r="S46" s="2532"/>
      <c r="T46" s="2024"/>
      <c r="U46" s="2532"/>
      <c r="V46" s="2024"/>
      <c r="W46" s="2532"/>
      <c r="X46" s="1992"/>
      <c r="Y46" s="2532"/>
      <c r="Z46" s="2024"/>
      <c r="AA46" s="2024"/>
      <c r="AB46" s="1987">
        <v>0</v>
      </c>
      <c r="AC46" s="2031"/>
      <c r="AD46" s="1987">
        <f t="shared" si="10"/>
        <v>0</v>
      </c>
      <c r="AE46" s="1987"/>
      <c r="AF46" s="2031"/>
      <c r="AG46" s="2024">
        <f>'Exhibit G State'!AG46+'Exhibit G Federal'!AG24</f>
        <v>0</v>
      </c>
      <c r="AH46" s="3467"/>
      <c r="AI46" s="1969"/>
      <c r="AJ46" s="1992">
        <f>ROUND(SUM(+AD46-AG46),1)</f>
        <v>0</v>
      </c>
      <c r="AK46" s="2540"/>
      <c r="AL46" s="1716">
        <f>ROUND(IF(AG46=0,0,AJ46/ABS(AG46)),3)</f>
        <v>0</v>
      </c>
    </row>
    <row r="47" spans="1:38" s="2177" customFormat="1" ht="15" customHeight="1">
      <c r="A47" s="2456"/>
      <c r="B47" s="2476" t="s">
        <v>1058</v>
      </c>
      <c r="C47" s="2456"/>
      <c r="D47" s="2024"/>
      <c r="E47" s="2520"/>
      <c r="F47" s="2024"/>
      <c r="G47" s="2520"/>
      <c r="H47" s="2024"/>
      <c r="I47" s="2520"/>
      <c r="J47" s="2024"/>
      <c r="K47" s="2532"/>
      <c r="L47" s="2024"/>
      <c r="M47" s="2532"/>
      <c r="N47" s="2024"/>
      <c r="O47" s="2532"/>
      <c r="P47" s="2024"/>
      <c r="Q47" s="2532"/>
      <c r="R47" s="2024"/>
      <c r="S47" s="2532"/>
      <c r="T47" s="2024"/>
      <c r="U47" s="2532"/>
      <c r="V47" s="2024"/>
      <c r="W47" s="2532"/>
      <c r="X47" s="1992"/>
      <c r="Y47" s="2532"/>
      <c r="Z47" s="2024"/>
      <c r="AA47" s="2024"/>
      <c r="AB47" s="1987"/>
      <c r="AC47" s="2031"/>
      <c r="AD47" s="1987"/>
      <c r="AE47" s="1987"/>
      <c r="AF47" s="2031"/>
      <c r="AG47" s="2024"/>
      <c r="AH47" s="3467"/>
      <c r="AI47" s="1969"/>
      <c r="AJ47" s="1992"/>
      <c r="AK47" s="2540"/>
      <c r="AL47" s="1810"/>
    </row>
    <row r="48" spans="1:38" s="2177" customFormat="1" ht="15" customHeight="1">
      <c r="A48" s="2456"/>
      <c r="B48" s="2476" t="s">
        <v>1149</v>
      </c>
      <c r="C48" s="2456"/>
      <c r="D48" s="2024">
        <f>'Exhibit G State'!D48</f>
        <v>0</v>
      </c>
      <c r="E48" s="2024"/>
      <c r="F48" s="2024"/>
      <c r="G48" s="2024"/>
      <c r="H48" s="2024"/>
      <c r="I48" s="2520"/>
      <c r="J48" s="2024"/>
      <c r="K48" s="2532"/>
      <c r="L48" s="2024"/>
      <c r="M48" s="2532"/>
      <c r="N48" s="2024"/>
      <c r="O48" s="2532"/>
      <c r="P48" s="2024"/>
      <c r="Q48" s="2532"/>
      <c r="R48" s="2024"/>
      <c r="S48" s="2532"/>
      <c r="T48" s="2024"/>
      <c r="U48" s="2532"/>
      <c r="V48" s="2024"/>
      <c r="W48" s="2532"/>
      <c r="X48" s="1992"/>
      <c r="Y48" s="2532"/>
      <c r="Z48" s="2024"/>
      <c r="AA48" s="2024"/>
      <c r="AB48" s="1987">
        <v>0</v>
      </c>
      <c r="AC48" s="2031"/>
      <c r="AD48" s="1987">
        <f>ROUND(SUM(D48:Z48),1)</f>
        <v>0</v>
      </c>
      <c r="AE48" s="1987"/>
      <c r="AF48" s="2031"/>
      <c r="AG48" s="2024">
        <f>'Exhibit G State'!AG48</f>
        <v>0</v>
      </c>
      <c r="AH48" s="3467"/>
      <c r="AI48" s="1969"/>
      <c r="AJ48" s="1992">
        <f>ROUND(SUM(+AD48-AG48),1)</f>
        <v>0</v>
      </c>
      <c r="AK48" s="2540"/>
      <c r="AL48" s="1716">
        <f>ROUND(IF(AG48=0,0,AJ48/ABS(AG48)),3)</f>
        <v>0</v>
      </c>
    </row>
    <row r="49" spans="1:38" s="2177" customFormat="1" ht="15" customHeight="1">
      <c r="A49" s="2456"/>
      <c r="B49" s="2476" t="s">
        <v>972</v>
      </c>
      <c r="C49" s="2456"/>
      <c r="D49" s="2024">
        <f>'Exhibit G State'!D49+'Exhibit G Federal'!D26</f>
        <v>38.6</v>
      </c>
      <c r="E49" s="2024"/>
      <c r="F49" s="2024"/>
      <c r="G49" s="2024"/>
      <c r="H49" s="2024"/>
      <c r="I49" s="2520"/>
      <c r="J49" s="2024"/>
      <c r="K49" s="2532"/>
      <c r="L49" s="2024"/>
      <c r="M49" s="2532"/>
      <c r="N49" s="2024"/>
      <c r="O49" s="2532"/>
      <c r="P49" s="2024"/>
      <c r="Q49" s="2532"/>
      <c r="R49" s="2024"/>
      <c r="S49" s="2532"/>
      <c r="T49" s="2024"/>
      <c r="U49" s="2532"/>
      <c r="V49" s="2024"/>
      <c r="W49" s="2532"/>
      <c r="X49" s="1992"/>
      <c r="Y49" s="2532"/>
      <c r="Z49" s="2024"/>
      <c r="AA49" s="2024"/>
      <c r="AB49" s="1987">
        <v>0</v>
      </c>
      <c r="AC49" s="2031"/>
      <c r="AD49" s="1987">
        <f t="shared" si="10"/>
        <v>38.6</v>
      </c>
      <c r="AE49" s="1987"/>
      <c r="AF49" s="2031"/>
      <c r="AG49" s="2024">
        <f>'Exhibit G State'!AG49+'Exhibit G Federal'!AG26</f>
        <v>48.199999999999996</v>
      </c>
      <c r="AH49" s="3467"/>
      <c r="AI49" s="1969"/>
      <c r="AJ49" s="1992">
        <f t="shared" ref="AJ49:AJ54" si="11">ROUND(SUM(+AD49-AG49),1)</f>
        <v>-9.6</v>
      </c>
      <c r="AK49" s="2540"/>
      <c r="AL49" s="1716">
        <f t="shared" ref="AL49:AL54" si="12">ROUND(IF(AG49=0,0,AJ49/ABS(AG49)),3)</f>
        <v>-0.19900000000000001</v>
      </c>
    </row>
    <row r="50" spans="1:38" s="2177" customFormat="1" ht="15" customHeight="1">
      <c r="A50" s="2456"/>
      <c r="B50" s="2476" t="s">
        <v>973</v>
      </c>
      <c r="C50" s="2456"/>
      <c r="D50" s="2024">
        <f>'Exhibit G State'!D50+'Exhibit G Federal'!D27</f>
        <v>5.0999999999999996</v>
      </c>
      <c r="E50" s="2024"/>
      <c r="F50" s="2024"/>
      <c r="G50" s="2024"/>
      <c r="H50" s="2024"/>
      <c r="I50" s="2520"/>
      <c r="J50" s="2024"/>
      <c r="K50" s="2532"/>
      <c r="L50" s="2024"/>
      <c r="M50" s="2532"/>
      <c r="N50" s="2024"/>
      <c r="O50" s="2532"/>
      <c r="P50" s="2024"/>
      <c r="Q50" s="2532"/>
      <c r="R50" s="2024"/>
      <c r="S50" s="2532"/>
      <c r="T50" s="2024"/>
      <c r="U50" s="2532"/>
      <c r="V50" s="2024"/>
      <c r="W50" s="2532"/>
      <c r="X50" s="1992"/>
      <c r="Y50" s="2532"/>
      <c r="Z50" s="2024"/>
      <c r="AA50" s="2024"/>
      <c r="AB50" s="1987">
        <v>0</v>
      </c>
      <c r="AC50" s="2031"/>
      <c r="AD50" s="1987">
        <f t="shared" si="10"/>
        <v>5.0999999999999996</v>
      </c>
      <c r="AE50" s="1987"/>
      <c r="AF50" s="2031"/>
      <c r="AG50" s="2024">
        <f>'Exhibit G State'!AG50+'Exhibit G Federal'!AG27</f>
        <v>3.2</v>
      </c>
      <c r="AH50" s="3467"/>
      <c r="AI50" s="1969"/>
      <c r="AJ50" s="1992">
        <f t="shared" si="11"/>
        <v>1.9</v>
      </c>
      <c r="AK50" s="2540"/>
      <c r="AL50" s="1716">
        <f t="shared" si="12"/>
        <v>0.59399999999999997</v>
      </c>
    </row>
    <row r="51" spans="1:38" s="2177" customFormat="1" ht="15" customHeight="1">
      <c r="A51" s="2456"/>
      <c r="B51" s="2476" t="s">
        <v>974</v>
      </c>
      <c r="C51" s="2456"/>
      <c r="D51" s="2024">
        <f>'Exhibit G State'!D51+'Exhibit G Federal'!D28</f>
        <v>0.9</v>
      </c>
      <c r="E51" s="2024"/>
      <c r="F51" s="2024"/>
      <c r="G51" s="2024"/>
      <c r="H51" s="2024"/>
      <c r="I51" s="2520"/>
      <c r="J51" s="2024"/>
      <c r="K51" s="2532"/>
      <c r="L51" s="2024"/>
      <c r="M51" s="2532"/>
      <c r="N51" s="2024"/>
      <c r="O51" s="2532"/>
      <c r="P51" s="2024"/>
      <c r="Q51" s="2532"/>
      <c r="R51" s="2024"/>
      <c r="S51" s="2532"/>
      <c r="T51" s="2024"/>
      <c r="U51" s="2532"/>
      <c r="V51" s="2024"/>
      <c r="W51" s="2532"/>
      <c r="X51" s="1992"/>
      <c r="Y51" s="2532"/>
      <c r="Z51" s="2024"/>
      <c r="AA51" s="2024"/>
      <c r="AB51" s="1987">
        <v>0</v>
      </c>
      <c r="AC51" s="2031"/>
      <c r="AD51" s="1987">
        <f>ROUND(SUM(D51:Z51),1)</f>
        <v>0.9</v>
      </c>
      <c r="AE51" s="1987"/>
      <c r="AF51" s="2031"/>
      <c r="AG51" s="2024">
        <f>'Exhibit G State'!AG51+'Exhibit G Federal'!AG28</f>
        <v>0.5</v>
      </c>
      <c r="AH51" s="3467"/>
      <c r="AI51" s="1969"/>
      <c r="AJ51" s="1992">
        <f t="shared" si="11"/>
        <v>0.4</v>
      </c>
      <c r="AK51" s="2540"/>
      <c r="AL51" s="1716">
        <f>ROUND(IF(AG51=0,1,AJ51/ABS(AG51)),3)</f>
        <v>0.8</v>
      </c>
    </row>
    <row r="52" spans="1:38" s="2177" customFormat="1" ht="15" customHeight="1">
      <c r="A52" s="2456"/>
      <c r="B52" s="2476" t="s">
        <v>975</v>
      </c>
      <c r="C52" s="2456"/>
      <c r="D52" s="2024">
        <f>'Exhibit G State'!D52+'Exhibit G Federal'!D29</f>
        <v>29.6</v>
      </c>
      <c r="E52" s="2024"/>
      <c r="F52" s="2024"/>
      <c r="G52" s="2024"/>
      <c r="H52" s="2024"/>
      <c r="I52" s="2520"/>
      <c r="J52" s="2024"/>
      <c r="K52" s="2532"/>
      <c r="L52" s="2024"/>
      <c r="M52" s="2532"/>
      <c r="N52" s="2024"/>
      <c r="O52" s="2532"/>
      <c r="P52" s="2024"/>
      <c r="Q52" s="2532"/>
      <c r="R52" s="2024"/>
      <c r="S52" s="2532"/>
      <c r="T52" s="2024"/>
      <c r="U52" s="2532"/>
      <c r="V52" s="2024"/>
      <c r="W52" s="2532"/>
      <c r="X52" s="1992"/>
      <c r="Y52" s="2532"/>
      <c r="Z52" s="2024"/>
      <c r="AA52" s="2024"/>
      <c r="AB52" s="1987">
        <v>0</v>
      </c>
      <c r="AC52" s="2031"/>
      <c r="AD52" s="1987">
        <f t="shared" si="10"/>
        <v>29.6</v>
      </c>
      <c r="AE52" s="1987"/>
      <c r="AF52" s="2031"/>
      <c r="AG52" s="2024">
        <f>'Exhibit G State'!AG52+'Exhibit G Federal'!AG29</f>
        <v>18.399999999999999</v>
      </c>
      <c r="AH52" s="3467"/>
      <c r="AI52" s="1969"/>
      <c r="AJ52" s="1992">
        <f t="shared" si="11"/>
        <v>11.2</v>
      </c>
      <c r="AK52" s="2540"/>
      <c r="AL52" s="1716">
        <f t="shared" si="12"/>
        <v>0.60899999999999999</v>
      </c>
    </row>
    <row r="53" spans="1:38" s="2177" customFormat="1" ht="15" customHeight="1">
      <c r="A53" s="2456"/>
      <c r="B53" s="2476" t="s">
        <v>976</v>
      </c>
      <c r="C53" s="2456"/>
      <c r="D53" s="2024">
        <f>'Exhibit G State'!D53+'Exhibit G Federal'!D30</f>
        <v>65.7</v>
      </c>
      <c r="E53" s="2024"/>
      <c r="F53" s="2024"/>
      <c r="G53" s="2024"/>
      <c r="H53" s="2024"/>
      <c r="I53" s="2520"/>
      <c r="J53" s="2024"/>
      <c r="K53" s="2532"/>
      <c r="L53" s="2024"/>
      <c r="M53" s="2532"/>
      <c r="N53" s="2024"/>
      <c r="O53" s="2532"/>
      <c r="P53" s="2024"/>
      <c r="Q53" s="2532"/>
      <c r="R53" s="2024"/>
      <c r="S53" s="2532"/>
      <c r="T53" s="2024"/>
      <c r="U53" s="2532"/>
      <c r="V53" s="2024"/>
      <c r="W53" s="2532"/>
      <c r="X53" s="1992"/>
      <c r="Y53" s="2532"/>
      <c r="Z53" s="2024"/>
      <c r="AA53" s="2024"/>
      <c r="AB53" s="1987">
        <v>0</v>
      </c>
      <c r="AC53" s="2031"/>
      <c r="AD53" s="1992">
        <f t="shared" si="10"/>
        <v>65.7</v>
      </c>
      <c r="AE53" s="1987"/>
      <c r="AF53" s="2031"/>
      <c r="AG53" s="2024">
        <f>'Exhibit G State'!AG53+'Exhibit G Federal'!AG30</f>
        <v>43</v>
      </c>
      <c r="AH53" s="3467"/>
      <c r="AI53" s="1969"/>
      <c r="AJ53" s="1992">
        <f t="shared" si="11"/>
        <v>22.7</v>
      </c>
      <c r="AK53" s="2540"/>
      <c r="AL53" s="1716">
        <f t="shared" si="12"/>
        <v>0.52800000000000002</v>
      </c>
    </row>
    <row r="54" spans="1:38" s="2177" customFormat="1" ht="15" customHeight="1">
      <c r="A54" s="2456"/>
      <c r="B54" s="2476" t="s">
        <v>934</v>
      </c>
      <c r="C54" s="2456"/>
      <c r="D54" s="2024">
        <f>'Exhibit G State'!D54+'Exhibit G Federal'!D31</f>
        <v>6.5</v>
      </c>
      <c r="E54" s="2024"/>
      <c r="F54" s="2024"/>
      <c r="G54" s="2024"/>
      <c r="H54" s="2024"/>
      <c r="I54" s="2520"/>
      <c r="J54" s="2024"/>
      <c r="K54" s="2532"/>
      <c r="L54" s="2024"/>
      <c r="M54" s="2532"/>
      <c r="N54" s="2024"/>
      <c r="O54" s="2532"/>
      <c r="P54" s="2024"/>
      <c r="Q54" s="2532"/>
      <c r="R54" s="2024"/>
      <c r="S54" s="2532"/>
      <c r="T54" s="2024"/>
      <c r="U54" s="2532"/>
      <c r="V54" s="2024"/>
      <c r="W54" s="2532"/>
      <c r="X54" s="1992"/>
      <c r="Y54" s="2532"/>
      <c r="Z54" s="2024"/>
      <c r="AA54" s="2024"/>
      <c r="AB54" s="1987">
        <v>0</v>
      </c>
      <c r="AC54" s="2031"/>
      <c r="AD54" s="1992">
        <f>ROUND(SUM(D54:Z54),1)</f>
        <v>6.5</v>
      </c>
      <c r="AE54" s="1987"/>
      <c r="AF54" s="2031"/>
      <c r="AG54" s="2024">
        <f>'Exhibit G State'!AG54+'Exhibit G Federal'!AG31</f>
        <v>10</v>
      </c>
      <c r="AH54" s="3467"/>
      <c r="AI54" s="1969"/>
      <c r="AJ54" s="1992">
        <f t="shared" si="11"/>
        <v>-3.5</v>
      </c>
      <c r="AK54" s="2540"/>
      <c r="AL54" s="1721">
        <f t="shared" si="12"/>
        <v>-0.35</v>
      </c>
    </row>
    <row r="55" spans="1:38" s="2177" customFormat="1" ht="15" customHeight="1">
      <c r="A55" s="2456"/>
      <c r="B55" s="2476" t="s">
        <v>1055</v>
      </c>
      <c r="C55" s="2456"/>
      <c r="D55" s="2024"/>
      <c r="E55" s="2520"/>
      <c r="F55" s="2024"/>
      <c r="G55" s="2520"/>
      <c r="H55" s="2024"/>
      <c r="I55" s="2520"/>
      <c r="J55" s="2024"/>
      <c r="K55" s="2532"/>
      <c r="L55" s="2024"/>
      <c r="M55" s="2532"/>
      <c r="N55" s="2024"/>
      <c r="O55" s="2532"/>
      <c r="P55" s="2024"/>
      <c r="Q55" s="2532"/>
      <c r="R55" s="2024"/>
      <c r="S55" s="2532"/>
      <c r="T55" s="2024"/>
      <c r="U55" s="2532"/>
      <c r="V55" s="2024"/>
      <c r="W55" s="2532"/>
      <c r="X55" s="1992"/>
      <c r="Y55" s="2532"/>
      <c r="Z55" s="2024"/>
      <c r="AA55" s="2024"/>
      <c r="AB55" s="1987"/>
      <c r="AC55" s="2031"/>
      <c r="AD55" s="1992"/>
      <c r="AE55" s="1987"/>
      <c r="AF55" s="2031"/>
      <c r="AG55" s="2024"/>
      <c r="AH55" s="3467"/>
      <c r="AI55" s="1969"/>
      <c r="AJ55" s="1992"/>
      <c r="AK55" s="2540"/>
      <c r="AL55" s="1810"/>
    </row>
    <row r="56" spans="1:38" s="2177" customFormat="1" ht="15" customHeight="1">
      <c r="A56" s="2456"/>
      <c r="B56" s="2476" t="s">
        <v>977</v>
      </c>
      <c r="C56" s="2456"/>
      <c r="D56" s="2024">
        <f>'Exhibit G State'!D56</f>
        <v>34.200000000000003</v>
      </c>
      <c r="E56" s="2024"/>
      <c r="F56" s="2024"/>
      <c r="G56" s="2024"/>
      <c r="H56" s="2024"/>
      <c r="I56" s="2520"/>
      <c r="J56" s="2024"/>
      <c r="K56" s="2532"/>
      <c r="L56" s="2024"/>
      <c r="M56" s="2532"/>
      <c r="N56" s="2024"/>
      <c r="O56" s="2532"/>
      <c r="P56" s="2024"/>
      <c r="Q56" s="2532"/>
      <c r="R56" s="2024"/>
      <c r="S56" s="2532"/>
      <c r="T56" s="2024"/>
      <c r="U56" s="2532"/>
      <c r="V56" s="2024"/>
      <c r="W56" s="2532"/>
      <c r="X56" s="1992"/>
      <c r="Y56" s="2532"/>
      <c r="Z56" s="2024"/>
      <c r="AA56" s="2024"/>
      <c r="AB56" s="1987">
        <v>0</v>
      </c>
      <c r="AC56" s="2031"/>
      <c r="AD56" s="1992">
        <f t="shared" si="10"/>
        <v>34.200000000000003</v>
      </c>
      <c r="AE56" s="1987"/>
      <c r="AF56" s="2031"/>
      <c r="AG56" s="2024">
        <f>'Exhibit G State'!AG56</f>
        <v>0</v>
      </c>
      <c r="AH56" s="3467"/>
      <c r="AI56" s="1969"/>
      <c r="AJ56" s="1992">
        <f>ROUND(SUM(+AD56-AG56),1)</f>
        <v>34.200000000000003</v>
      </c>
      <c r="AK56" s="2540"/>
      <c r="AL56" s="1721">
        <f>ROUND(IF(AG56=0,1,AJ56/ABS(AG56)),3)</f>
        <v>1</v>
      </c>
    </row>
    <row r="57" spans="1:38" s="2177" customFormat="1" ht="15" customHeight="1">
      <c r="A57" s="2456"/>
      <c r="B57" s="2476" t="s">
        <v>978</v>
      </c>
      <c r="C57" s="2456"/>
      <c r="D57" s="2024">
        <f>'Exhibit G State'!D57</f>
        <v>199.5</v>
      </c>
      <c r="E57" s="2024"/>
      <c r="F57" s="2024"/>
      <c r="G57" s="2024"/>
      <c r="H57" s="2024"/>
      <c r="I57" s="2520"/>
      <c r="J57" s="2024"/>
      <c r="K57" s="2532"/>
      <c r="L57" s="2024"/>
      <c r="M57" s="2532"/>
      <c r="N57" s="2024"/>
      <c r="O57" s="2532"/>
      <c r="P57" s="2024"/>
      <c r="Q57" s="2532"/>
      <c r="R57" s="2024"/>
      <c r="S57" s="2532"/>
      <c r="T57" s="2024"/>
      <c r="U57" s="2532"/>
      <c r="V57" s="2024"/>
      <c r="W57" s="2532"/>
      <c r="X57" s="1992"/>
      <c r="Y57" s="2532"/>
      <c r="Z57" s="2024"/>
      <c r="AA57" s="2024"/>
      <c r="AB57" s="1987">
        <v>0</v>
      </c>
      <c r="AC57" s="2031"/>
      <c r="AD57" s="1992">
        <f t="shared" si="10"/>
        <v>199.5</v>
      </c>
      <c r="AE57" s="1987"/>
      <c r="AF57" s="2031"/>
      <c r="AG57" s="2024">
        <f>'Exhibit G State'!AG57</f>
        <v>157</v>
      </c>
      <c r="AH57" s="3467"/>
      <c r="AI57" s="1969"/>
      <c r="AJ57" s="1992">
        <f>ROUND(SUM(+AD57-AG57),1)</f>
        <v>42.5</v>
      </c>
      <c r="AK57" s="2540"/>
      <c r="AL57" s="1716">
        <f>ROUND(IF(AG57=0,0,AJ57/ABS(AG57)),3)</f>
        <v>0.27100000000000002</v>
      </c>
    </row>
    <row r="58" spans="1:38" s="2177" customFormat="1" ht="15" customHeight="1">
      <c r="A58" s="2456"/>
      <c r="B58" s="2476" t="s">
        <v>979</v>
      </c>
      <c r="C58" s="2456"/>
      <c r="D58" s="2024">
        <f>'Exhibit G State'!D58</f>
        <v>75.900000000000006</v>
      </c>
      <c r="E58" s="2024"/>
      <c r="F58" s="2024"/>
      <c r="G58" s="2024"/>
      <c r="H58" s="2024"/>
      <c r="I58" s="2520"/>
      <c r="J58" s="2024"/>
      <c r="K58" s="2532"/>
      <c r="L58" s="2024"/>
      <c r="M58" s="2532"/>
      <c r="N58" s="2024"/>
      <c r="O58" s="2532"/>
      <c r="P58" s="2024"/>
      <c r="Q58" s="2532"/>
      <c r="R58" s="2024"/>
      <c r="S58" s="2532"/>
      <c r="T58" s="2024"/>
      <c r="U58" s="2532"/>
      <c r="V58" s="2024"/>
      <c r="W58" s="2532"/>
      <c r="X58" s="1992"/>
      <c r="Y58" s="2532"/>
      <c r="Z58" s="2024"/>
      <c r="AA58" s="2024"/>
      <c r="AB58" s="1987">
        <v>0</v>
      </c>
      <c r="AC58" s="2031"/>
      <c r="AD58" s="1992">
        <f t="shared" si="10"/>
        <v>75.900000000000006</v>
      </c>
      <c r="AE58" s="1987"/>
      <c r="AF58" s="2031"/>
      <c r="AG58" s="2024">
        <f>'Exhibit G State'!AG58</f>
        <v>0</v>
      </c>
      <c r="AH58" s="3467"/>
      <c r="AI58" s="1969"/>
      <c r="AJ58" s="1992">
        <f>ROUND(SUM(+AD58-AG58),1)</f>
        <v>75.900000000000006</v>
      </c>
      <c r="AK58" s="2540"/>
      <c r="AL58" s="1716">
        <f>ROUND(IF(AG58=0,1,AJ58/ABS(AG58)),3)</f>
        <v>1</v>
      </c>
    </row>
    <row r="59" spans="1:38" s="2177" customFormat="1" ht="15" customHeight="1">
      <c r="A59" s="2456"/>
      <c r="B59" s="2476" t="s">
        <v>935</v>
      </c>
      <c r="C59" s="2456"/>
      <c r="D59" s="2024">
        <f>'Exhibit G State'!D59+'Exhibit G Federal'!D32</f>
        <v>4.0999999999999996</v>
      </c>
      <c r="E59" s="2024"/>
      <c r="F59" s="2024"/>
      <c r="G59" s="2024"/>
      <c r="H59" s="2024"/>
      <c r="I59" s="2520"/>
      <c r="J59" s="2024"/>
      <c r="K59" s="2532"/>
      <c r="L59" s="2024"/>
      <c r="M59" s="2532"/>
      <c r="N59" s="2024"/>
      <c r="O59" s="2532"/>
      <c r="P59" s="2024"/>
      <c r="Q59" s="2532"/>
      <c r="R59" s="2024"/>
      <c r="S59" s="2532"/>
      <c r="T59" s="2024"/>
      <c r="U59" s="2532"/>
      <c r="V59" s="2024"/>
      <c r="W59" s="2532"/>
      <c r="X59" s="1992"/>
      <c r="Y59" s="2532"/>
      <c r="Z59" s="2024"/>
      <c r="AA59" s="2024"/>
      <c r="AB59" s="1987">
        <v>0</v>
      </c>
      <c r="AC59" s="2031"/>
      <c r="AD59" s="1992">
        <f>ROUND(SUM(D59:Z59),1)</f>
        <v>4.0999999999999996</v>
      </c>
      <c r="AE59" s="1987"/>
      <c r="AF59" s="2031"/>
      <c r="AG59" s="2024">
        <f>'Exhibit G State'!AG59+'Exhibit G Federal'!AG32</f>
        <v>16.5</v>
      </c>
      <c r="AH59" s="3467"/>
      <c r="AI59" s="1969"/>
      <c r="AJ59" s="1992">
        <f>ROUND(SUM(+AD59-AG59),1)</f>
        <v>-12.4</v>
      </c>
      <c r="AK59" s="2540"/>
      <c r="AL59" s="1716">
        <f>ROUND(IF(AG59=0,0,AJ59/ABS(AG59)),3)</f>
        <v>-0.752</v>
      </c>
    </row>
    <row r="60" spans="1:38" s="2177" customFormat="1" ht="15" customHeight="1">
      <c r="A60" s="2456"/>
      <c r="B60" s="2476" t="s">
        <v>953</v>
      </c>
      <c r="C60" s="2456"/>
      <c r="D60" s="2024">
        <f>'Exhibit G State'!D60+'Exhibit G Federal'!D33</f>
        <v>6.7</v>
      </c>
      <c r="E60" s="2024"/>
      <c r="F60" s="2024"/>
      <c r="G60" s="2024"/>
      <c r="H60" s="2024"/>
      <c r="I60" s="2520"/>
      <c r="J60" s="2024"/>
      <c r="K60" s="2532"/>
      <c r="L60" s="2024"/>
      <c r="M60" s="2532"/>
      <c r="N60" s="2024"/>
      <c r="O60" s="2532"/>
      <c r="P60" s="2024"/>
      <c r="Q60" s="2532"/>
      <c r="R60" s="2024"/>
      <c r="S60" s="2532"/>
      <c r="T60" s="2024"/>
      <c r="U60" s="2532"/>
      <c r="V60" s="2024"/>
      <c r="W60" s="2532"/>
      <c r="X60" s="1992"/>
      <c r="Y60" s="2532"/>
      <c r="Z60" s="2024"/>
      <c r="AA60" s="2024"/>
      <c r="AB60" s="1987">
        <v>0</v>
      </c>
      <c r="AC60" s="2031"/>
      <c r="AD60" s="1992">
        <f>ROUND(SUM(D60:Z60),1)</f>
        <v>6.7</v>
      </c>
      <c r="AE60" s="1987"/>
      <c r="AF60" s="2031"/>
      <c r="AG60" s="2024">
        <f>'Exhibit G State'!AG60+'Exhibit G Federal'!AG33</f>
        <v>9.2999999999999989</v>
      </c>
      <c r="AH60" s="3467"/>
      <c r="AI60" s="1969"/>
      <c r="AJ60" s="1992">
        <f>ROUND(SUM(+AD60-AG60),1)</f>
        <v>-2.6</v>
      </c>
      <c r="AK60" s="2540"/>
      <c r="AL60" s="1716">
        <f>ROUND(IF(AG60=0,0,AJ60/ABS(AG60)),3)</f>
        <v>-0.28000000000000003</v>
      </c>
    </row>
    <row r="61" spans="1:38" s="2177" customFormat="1" ht="15" customHeight="1">
      <c r="A61" s="2456"/>
      <c r="B61" s="2476" t="s">
        <v>1056</v>
      </c>
      <c r="C61" s="2456"/>
      <c r="D61" s="2024"/>
      <c r="E61" s="2520"/>
      <c r="F61" s="2024"/>
      <c r="G61" s="2520"/>
      <c r="H61" s="2024"/>
      <c r="I61" s="2520"/>
      <c r="J61" s="2024"/>
      <c r="K61" s="2532"/>
      <c r="L61" s="2024"/>
      <c r="M61" s="2532"/>
      <c r="N61" s="2024"/>
      <c r="O61" s="2532"/>
      <c r="P61" s="2024"/>
      <c r="Q61" s="2532"/>
      <c r="R61" s="2024"/>
      <c r="S61" s="2532"/>
      <c r="T61" s="2024"/>
      <c r="U61" s="2532"/>
      <c r="V61" s="2024"/>
      <c r="W61" s="2532"/>
      <c r="X61" s="1992"/>
      <c r="Y61" s="2532"/>
      <c r="Z61" s="2024"/>
      <c r="AA61" s="2024"/>
      <c r="AB61" s="1987"/>
      <c r="AC61" s="2031"/>
      <c r="AD61" s="1992"/>
      <c r="AE61" s="1987"/>
      <c r="AF61" s="2031"/>
      <c r="AG61" s="2024"/>
      <c r="AH61" s="3467"/>
      <c r="AI61" s="1969"/>
      <c r="AJ61" s="1992"/>
      <c r="AK61" s="2540"/>
      <c r="AL61" s="1810"/>
    </row>
    <row r="62" spans="1:38" s="2177" customFormat="1" ht="15" customHeight="1">
      <c r="A62" s="2456"/>
      <c r="B62" s="2476" t="s">
        <v>980</v>
      </c>
      <c r="C62" s="2456"/>
      <c r="D62" s="2024">
        <f>'Exhibit G State'!D62+'Exhibit G Federal'!D35</f>
        <v>0</v>
      </c>
      <c r="E62" s="2024"/>
      <c r="F62" s="2024"/>
      <c r="G62" s="2024"/>
      <c r="H62" s="2024"/>
      <c r="I62" s="2520"/>
      <c r="J62" s="2024"/>
      <c r="K62" s="2532"/>
      <c r="L62" s="2024"/>
      <c r="M62" s="2532"/>
      <c r="N62" s="2024"/>
      <c r="O62" s="2532"/>
      <c r="P62" s="2024"/>
      <c r="Q62" s="2532"/>
      <c r="R62" s="2024"/>
      <c r="S62" s="2532"/>
      <c r="T62" s="2024"/>
      <c r="U62" s="2532"/>
      <c r="V62" s="2024"/>
      <c r="W62" s="2532"/>
      <c r="X62" s="1992"/>
      <c r="Y62" s="2532"/>
      <c r="Z62" s="2024"/>
      <c r="AA62" s="2024"/>
      <c r="AB62" s="1987">
        <v>0</v>
      </c>
      <c r="AC62" s="2031"/>
      <c r="AD62" s="1992">
        <f t="shared" si="10"/>
        <v>0</v>
      </c>
      <c r="AE62" s="1987"/>
      <c r="AF62" s="2031"/>
      <c r="AG62" s="2024">
        <f>'Exhibit G State'!AG62+'Exhibit G Federal'!AG35</f>
        <v>0</v>
      </c>
      <c r="AH62" s="3467"/>
      <c r="AI62" s="1969"/>
      <c r="AJ62" s="1992">
        <f t="shared" ref="AJ62:AJ66" si="13">ROUND(SUM(+AD62-AG62),1)</f>
        <v>0</v>
      </c>
      <c r="AK62" s="2540"/>
      <c r="AL62" s="1716">
        <f>ROUND(IF(AG62=0,0,AJ62/ABS(AG62)),3)</f>
        <v>0</v>
      </c>
    </row>
    <row r="63" spans="1:38" s="2177" customFormat="1" ht="15" customHeight="1">
      <c r="A63" s="2456"/>
      <c r="B63" s="2476" t="s">
        <v>981</v>
      </c>
      <c r="C63" s="2456"/>
      <c r="D63" s="2024">
        <f>'Exhibit G State'!D63+'Exhibit G Federal'!D36</f>
        <v>0</v>
      </c>
      <c r="E63" s="2024"/>
      <c r="F63" s="2024"/>
      <c r="G63" s="2024"/>
      <c r="H63" s="2024"/>
      <c r="I63" s="2520"/>
      <c r="J63" s="2024"/>
      <c r="K63" s="2532"/>
      <c r="L63" s="2024"/>
      <c r="M63" s="2532"/>
      <c r="N63" s="2024"/>
      <c r="O63" s="2532"/>
      <c r="P63" s="2024"/>
      <c r="Q63" s="2532"/>
      <c r="R63" s="2024"/>
      <c r="S63" s="2532"/>
      <c r="T63" s="2024"/>
      <c r="U63" s="2532"/>
      <c r="V63" s="2024"/>
      <c r="W63" s="2532"/>
      <c r="X63" s="1992"/>
      <c r="Y63" s="2532"/>
      <c r="Z63" s="2024"/>
      <c r="AA63" s="2024"/>
      <c r="AB63" s="1987">
        <v>0</v>
      </c>
      <c r="AC63" s="2031"/>
      <c r="AD63" s="1992">
        <f t="shared" si="10"/>
        <v>0</v>
      </c>
      <c r="AE63" s="1987"/>
      <c r="AF63" s="2031"/>
      <c r="AG63" s="2024">
        <f>'Exhibit G State'!AG63+'Exhibit G Federal'!AG36</f>
        <v>0</v>
      </c>
      <c r="AH63" s="3467"/>
      <c r="AI63" s="1969"/>
      <c r="AJ63" s="1992">
        <f t="shared" si="13"/>
        <v>0</v>
      </c>
      <c r="AK63" s="2540"/>
      <c r="AL63" s="1716">
        <f>ROUND(IF(AG63=0,0,AJ63/ABS(AG63)),3)</f>
        <v>0</v>
      </c>
    </row>
    <row r="64" spans="1:38" s="2177" customFormat="1" ht="15" customHeight="1">
      <c r="A64" s="2456"/>
      <c r="B64" s="2476" t="s">
        <v>982</v>
      </c>
      <c r="C64" s="2456"/>
      <c r="D64" s="2024">
        <f>'Exhibit G State'!D64+'Exhibit G Federal'!D37</f>
        <v>2.7</v>
      </c>
      <c r="E64" s="2024"/>
      <c r="F64" s="2024"/>
      <c r="G64" s="2024"/>
      <c r="H64" s="2024"/>
      <c r="I64" s="2520"/>
      <c r="J64" s="2024"/>
      <c r="K64" s="2532"/>
      <c r="L64" s="2024"/>
      <c r="M64" s="2532"/>
      <c r="N64" s="2024"/>
      <c r="O64" s="2532"/>
      <c r="P64" s="2024"/>
      <c r="Q64" s="2532"/>
      <c r="R64" s="2024"/>
      <c r="S64" s="2532"/>
      <c r="T64" s="2024"/>
      <c r="U64" s="2532"/>
      <c r="V64" s="2024"/>
      <c r="W64" s="2532"/>
      <c r="X64" s="1992"/>
      <c r="Y64" s="2532"/>
      <c r="Z64" s="2024"/>
      <c r="AA64" s="2024"/>
      <c r="AB64" s="1987">
        <v>0</v>
      </c>
      <c r="AC64" s="2031"/>
      <c r="AD64" s="1992">
        <f t="shared" si="10"/>
        <v>2.7</v>
      </c>
      <c r="AE64" s="1987"/>
      <c r="AF64" s="2031"/>
      <c r="AG64" s="2024">
        <f>'Exhibit G State'!AG64+'Exhibit G Federal'!AG37</f>
        <v>0.5</v>
      </c>
      <c r="AH64" s="3467"/>
      <c r="AI64" s="1969"/>
      <c r="AJ64" s="1992">
        <f t="shared" si="13"/>
        <v>2.2000000000000002</v>
      </c>
      <c r="AK64" s="2540"/>
      <c r="AL64" s="1721">
        <f t="shared" ref="AL64:AL66" si="14">ROUND(IF(AG64=0,0,AJ64/ABS(AG64)),3)</f>
        <v>4.4000000000000004</v>
      </c>
    </row>
    <row r="65" spans="1:38" s="2177" customFormat="1" ht="15" customHeight="1">
      <c r="A65" s="2456"/>
      <c r="B65" s="2476" t="s">
        <v>983</v>
      </c>
      <c r="C65" s="2456"/>
      <c r="D65" s="2024">
        <f>'Exhibit G State'!D65+'Exhibit G Federal'!D38</f>
        <v>0.2</v>
      </c>
      <c r="E65" s="2024"/>
      <c r="F65" s="2024"/>
      <c r="G65" s="2024"/>
      <c r="H65" s="2024"/>
      <c r="I65" s="2520"/>
      <c r="J65" s="2024"/>
      <c r="K65" s="2532"/>
      <c r="L65" s="2024"/>
      <c r="M65" s="2532"/>
      <c r="N65" s="2024"/>
      <c r="O65" s="2532"/>
      <c r="P65" s="2024"/>
      <c r="Q65" s="2532"/>
      <c r="R65" s="2024"/>
      <c r="S65" s="2532"/>
      <c r="T65" s="2024"/>
      <c r="U65" s="2532"/>
      <c r="V65" s="2024"/>
      <c r="W65" s="2532"/>
      <c r="X65" s="1992"/>
      <c r="Y65" s="2532"/>
      <c r="Z65" s="2024"/>
      <c r="AA65" s="2024"/>
      <c r="AB65" s="1987">
        <v>0</v>
      </c>
      <c r="AC65" s="2031"/>
      <c r="AD65" s="1992">
        <f t="shared" si="10"/>
        <v>0.2</v>
      </c>
      <c r="AE65" s="1987"/>
      <c r="AF65" s="2031"/>
      <c r="AG65" s="2024">
        <f>'Exhibit G State'!AG65+'Exhibit G Federal'!AG38</f>
        <v>8.9</v>
      </c>
      <c r="AH65" s="3467"/>
      <c r="AI65" s="1969"/>
      <c r="AJ65" s="1992">
        <f t="shared" si="13"/>
        <v>-8.6999999999999993</v>
      </c>
      <c r="AK65" s="2540"/>
      <c r="AL65" s="1721">
        <f t="shared" si="14"/>
        <v>-0.97799999999999998</v>
      </c>
    </row>
    <row r="66" spans="1:38" s="2177" customFormat="1" ht="15" customHeight="1">
      <c r="A66" s="2456"/>
      <c r="B66" s="2476" t="s">
        <v>954</v>
      </c>
      <c r="C66" s="2456"/>
      <c r="D66" s="2024">
        <f>'Exhibit G State'!D66+'Exhibit G Federal'!D39</f>
        <v>41.8</v>
      </c>
      <c r="E66" s="2024"/>
      <c r="F66" s="2024"/>
      <c r="G66" s="2024"/>
      <c r="H66" s="2024"/>
      <c r="I66" s="2520"/>
      <c r="J66" s="2024"/>
      <c r="K66" s="2532"/>
      <c r="L66" s="2024"/>
      <c r="M66" s="2532"/>
      <c r="N66" s="2024"/>
      <c r="O66" s="2532"/>
      <c r="P66" s="2024"/>
      <c r="Q66" s="2532"/>
      <c r="R66" s="2024"/>
      <c r="S66" s="2532"/>
      <c r="T66" s="2024"/>
      <c r="U66" s="2532"/>
      <c r="V66" s="2024"/>
      <c r="W66" s="2532"/>
      <c r="X66" s="1992"/>
      <c r="Y66" s="2532"/>
      <c r="Z66" s="2024"/>
      <c r="AA66" s="2024"/>
      <c r="AB66" s="1987">
        <v>0</v>
      </c>
      <c r="AC66" s="2031"/>
      <c r="AD66" s="1992">
        <f t="shared" si="10"/>
        <v>41.8</v>
      </c>
      <c r="AE66" s="1987"/>
      <c r="AF66" s="2031"/>
      <c r="AG66" s="2024">
        <f>'Exhibit G State'!AG66+'Exhibit G Federal'!AG39</f>
        <v>-5.3</v>
      </c>
      <c r="AH66" s="3467"/>
      <c r="AI66" s="1969"/>
      <c r="AJ66" s="1992">
        <f t="shared" si="13"/>
        <v>47.1</v>
      </c>
      <c r="AK66" s="2540"/>
      <c r="AL66" s="1721">
        <f t="shared" si="14"/>
        <v>8.8870000000000005</v>
      </c>
    </row>
    <row r="67" spans="1:38" s="2177" customFormat="1" ht="15" customHeight="1">
      <c r="A67" s="2456"/>
      <c r="B67" s="2476" t="s">
        <v>1057</v>
      </c>
      <c r="C67" s="2456"/>
      <c r="D67" s="2024"/>
      <c r="E67" s="2024"/>
      <c r="F67" s="2024"/>
      <c r="G67" s="2520"/>
      <c r="H67" s="2024"/>
      <c r="I67" s="2520"/>
      <c r="J67" s="2024"/>
      <c r="K67" s="2532"/>
      <c r="L67" s="2024"/>
      <c r="M67" s="2532"/>
      <c r="N67" s="2024"/>
      <c r="O67" s="2532"/>
      <c r="P67" s="2024"/>
      <c r="Q67" s="2532"/>
      <c r="R67" s="2024"/>
      <c r="S67" s="2532"/>
      <c r="T67" s="2024"/>
      <c r="U67" s="2532"/>
      <c r="V67" s="2024"/>
      <c r="W67" s="2532"/>
      <c r="X67" s="1992"/>
      <c r="Y67" s="2532"/>
      <c r="Z67" s="2024"/>
      <c r="AA67" s="2024"/>
      <c r="AB67" s="1987"/>
      <c r="AC67" s="2031"/>
      <c r="AD67" s="1992"/>
      <c r="AE67" s="1987"/>
      <c r="AF67" s="2031"/>
      <c r="AG67" s="2024"/>
      <c r="AH67" s="3467"/>
      <c r="AI67" s="1969"/>
      <c r="AJ67" s="1992"/>
      <c r="AK67" s="2540"/>
      <c r="AL67" s="1810"/>
    </row>
    <row r="68" spans="1:38" s="2177" customFormat="1" ht="15" customHeight="1">
      <c r="A68" s="2456"/>
      <c r="B68" s="2476" t="s">
        <v>984</v>
      </c>
      <c r="C68" s="2456"/>
      <c r="D68" s="2024">
        <f>'Exhibit G State'!D68+'Exhibit G Federal'!D41</f>
        <v>45</v>
      </c>
      <c r="E68" s="2024"/>
      <c r="F68" s="2024"/>
      <c r="G68" s="2024"/>
      <c r="H68" s="2024"/>
      <c r="I68" s="2520"/>
      <c r="J68" s="2024"/>
      <c r="K68" s="2532"/>
      <c r="L68" s="2024"/>
      <c r="M68" s="2532"/>
      <c r="N68" s="2024"/>
      <c r="O68" s="2532"/>
      <c r="P68" s="2024"/>
      <c r="Q68" s="2532"/>
      <c r="R68" s="2024"/>
      <c r="S68" s="2532"/>
      <c r="T68" s="2024"/>
      <c r="U68" s="2532"/>
      <c r="V68" s="2024"/>
      <c r="W68" s="2532"/>
      <c r="X68" s="1992"/>
      <c r="Y68" s="2532"/>
      <c r="Z68" s="2024"/>
      <c r="AA68" s="2024"/>
      <c r="AB68" s="1987">
        <v>0</v>
      </c>
      <c r="AC68" s="2031"/>
      <c r="AD68" s="1992">
        <f t="shared" si="10"/>
        <v>45</v>
      </c>
      <c r="AE68" s="1987"/>
      <c r="AF68" s="2031"/>
      <c r="AG68" s="2024">
        <f>'Exhibit G State'!AG68+'Exhibit G Federal'!AG41</f>
        <v>24.599999999999998</v>
      </c>
      <c r="AH68" s="3467"/>
      <c r="AI68" s="1969"/>
      <c r="AJ68" s="1992">
        <f t="shared" ref="AJ68:AJ79" si="15">ROUND(SUM(+AD68-AG68),1)</f>
        <v>20.399999999999999</v>
      </c>
      <c r="AK68" s="2540"/>
      <c r="AL68" s="1721">
        <f>ROUND(IF(AG68=0,0,AJ68/ABS(AG68)),3)</f>
        <v>0.82899999999999996</v>
      </c>
    </row>
    <row r="69" spans="1:38" s="2177" customFormat="1" ht="15" customHeight="1">
      <c r="A69" s="2456"/>
      <c r="B69" s="2476" t="s">
        <v>985</v>
      </c>
      <c r="C69" s="2456"/>
      <c r="D69" s="2024">
        <f>'Exhibit G State'!D69+'Exhibit G Federal'!D42</f>
        <v>0.5</v>
      </c>
      <c r="E69" s="2024"/>
      <c r="F69" s="2024"/>
      <c r="G69" s="2024"/>
      <c r="H69" s="2024"/>
      <c r="I69" s="2520"/>
      <c r="J69" s="2024"/>
      <c r="K69" s="2532"/>
      <c r="L69" s="2024"/>
      <c r="M69" s="2532"/>
      <c r="N69" s="2024"/>
      <c r="O69" s="2532"/>
      <c r="P69" s="2024"/>
      <c r="Q69" s="2532"/>
      <c r="R69" s="2024"/>
      <c r="S69" s="2532"/>
      <c r="T69" s="2024"/>
      <c r="U69" s="2532"/>
      <c r="V69" s="2024"/>
      <c r="W69" s="2532"/>
      <c r="X69" s="1992"/>
      <c r="Y69" s="2532"/>
      <c r="Z69" s="2024"/>
      <c r="AA69" s="2024"/>
      <c r="AB69" s="1987">
        <v>0</v>
      </c>
      <c r="AC69" s="2031"/>
      <c r="AD69" s="1992">
        <f t="shared" si="10"/>
        <v>0.5</v>
      </c>
      <c r="AE69" s="1987"/>
      <c r="AF69" s="2031"/>
      <c r="AG69" s="2024">
        <f>'Exhibit G State'!AG69+'Exhibit G Federal'!AG42</f>
        <v>0.2</v>
      </c>
      <c r="AH69" s="3467"/>
      <c r="AI69" s="1969"/>
      <c r="AJ69" s="1992">
        <f t="shared" si="15"/>
        <v>0.3</v>
      </c>
      <c r="AK69" s="2540"/>
      <c r="AL69" s="1716">
        <f>ROUND(IF(AG69=0,1,AJ69/ABS(AG69)),3)</f>
        <v>1.5</v>
      </c>
    </row>
    <row r="70" spans="1:38" s="2177" customFormat="1" ht="15" customHeight="1">
      <c r="A70" s="2456"/>
      <c r="B70" s="2476" t="s">
        <v>1268</v>
      </c>
      <c r="C70" s="2456"/>
      <c r="D70" s="2024">
        <f>'Exhibit G State'!D70</f>
        <v>0</v>
      </c>
      <c r="E70" s="2024"/>
      <c r="F70" s="2024"/>
      <c r="G70" s="2024"/>
      <c r="H70" s="2024"/>
      <c r="I70" s="3572"/>
      <c r="J70" s="2024"/>
      <c r="K70" s="3572"/>
      <c r="L70" s="2024"/>
      <c r="M70" s="3572"/>
      <c r="N70" s="2024"/>
      <c r="O70" s="3572"/>
      <c r="P70" s="2024"/>
      <c r="Q70" s="3572"/>
      <c r="R70" s="2024"/>
      <c r="S70" s="3572"/>
      <c r="T70" s="2024"/>
      <c r="U70" s="2532"/>
      <c r="V70" s="2024"/>
      <c r="W70" s="2532"/>
      <c r="X70" s="1992"/>
      <c r="Y70" s="2532"/>
      <c r="Z70" s="2024"/>
      <c r="AA70" s="2024"/>
      <c r="AB70" s="1987">
        <v>0</v>
      </c>
      <c r="AC70" s="2031"/>
      <c r="AD70" s="1992">
        <f>ROUND(SUM(D70:Z70),1)</f>
        <v>0</v>
      </c>
      <c r="AE70" s="1987"/>
      <c r="AF70" s="2031"/>
      <c r="AG70" s="2024">
        <f>'Exhibit G State'!AG70</f>
        <v>0</v>
      </c>
      <c r="AH70" s="3467"/>
      <c r="AI70" s="1969"/>
      <c r="AJ70" s="1992">
        <f t="shared" si="15"/>
        <v>0</v>
      </c>
      <c r="AK70" s="2540"/>
      <c r="AL70" s="1716">
        <f>ROUND(IF(AG70=0,0,AJ70/ABS(AG70)),3)</f>
        <v>0</v>
      </c>
    </row>
    <row r="71" spans="1:38" s="2177" customFormat="1" ht="15" customHeight="1">
      <c r="A71" s="2456"/>
      <c r="B71" s="2476" t="s">
        <v>986</v>
      </c>
      <c r="C71" s="2456"/>
      <c r="D71" s="2024">
        <f>'Exhibit G State'!D71+'Exhibit G Federal'!D43</f>
        <v>0.7</v>
      </c>
      <c r="E71" s="2024"/>
      <c r="F71" s="2024"/>
      <c r="G71" s="2024"/>
      <c r="H71" s="2024"/>
      <c r="I71" s="2520"/>
      <c r="J71" s="2024"/>
      <c r="K71" s="2532"/>
      <c r="L71" s="2024"/>
      <c r="M71" s="2532"/>
      <c r="N71" s="2024"/>
      <c r="O71" s="2532"/>
      <c r="P71" s="2024"/>
      <c r="Q71" s="2532"/>
      <c r="R71" s="2024"/>
      <c r="S71" s="2532"/>
      <c r="T71" s="2024"/>
      <c r="U71" s="2532"/>
      <c r="V71" s="2024"/>
      <c r="W71" s="2532"/>
      <c r="X71" s="1992"/>
      <c r="Y71" s="2532"/>
      <c r="Z71" s="2024"/>
      <c r="AA71" s="2024"/>
      <c r="AB71" s="1987">
        <v>0</v>
      </c>
      <c r="AC71" s="2031"/>
      <c r="AD71" s="1992">
        <f t="shared" si="10"/>
        <v>0.7</v>
      </c>
      <c r="AE71" s="1987"/>
      <c r="AF71" s="2031"/>
      <c r="AG71" s="2024">
        <f>'Exhibit G State'!AG71+'Exhibit G Federal'!AG43</f>
        <v>0.6</v>
      </c>
      <c r="AH71" s="3467"/>
      <c r="AI71" s="1969"/>
      <c r="AJ71" s="1992">
        <f t="shared" si="15"/>
        <v>0.1</v>
      </c>
      <c r="AK71" s="2540"/>
      <c r="AL71" s="1721">
        <f t="shared" ref="AL71:AL74" si="16">ROUND(IF(AG71=0,0,AJ71/ABS(AG71)),3)</f>
        <v>0.16700000000000001</v>
      </c>
    </row>
    <row r="72" spans="1:38" s="2177" customFormat="1" ht="15" customHeight="1">
      <c r="A72" s="2456"/>
      <c r="B72" s="2476" t="s">
        <v>987</v>
      </c>
      <c r="C72" s="2456"/>
      <c r="D72" s="2024">
        <f>'Exhibit G State'!D72+'Exhibit G Federal'!D44</f>
        <v>0</v>
      </c>
      <c r="E72" s="2024"/>
      <c r="F72" s="2024"/>
      <c r="G72" s="2024"/>
      <c r="H72" s="2024"/>
      <c r="I72" s="2520"/>
      <c r="J72" s="2024"/>
      <c r="K72" s="2532"/>
      <c r="L72" s="2024"/>
      <c r="M72" s="2532"/>
      <c r="N72" s="2024"/>
      <c r="O72" s="2532"/>
      <c r="P72" s="2024"/>
      <c r="Q72" s="2532"/>
      <c r="R72" s="2024"/>
      <c r="S72" s="2532"/>
      <c r="T72" s="2024"/>
      <c r="U72" s="2532"/>
      <c r="V72" s="2024"/>
      <c r="W72" s="2532"/>
      <c r="X72" s="1992"/>
      <c r="Y72" s="2532"/>
      <c r="Z72" s="2024"/>
      <c r="AA72" s="2024"/>
      <c r="AB72" s="1987">
        <v>0</v>
      </c>
      <c r="AC72" s="2031"/>
      <c r="AD72" s="1992">
        <f t="shared" si="10"/>
        <v>0</v>
      </c>
      <c r="AE72" s="1987"/>
      <c r="AF72" s="2031"/>
      <c r="AG72" s="2024">
        <f>'Exhibit G State'!AG72+'Exhibit G Federal'!AG44</f>
        <v>0</v>
      </c>
      <c r="AH72" s="3467"/>
      <c r="AI72" s="1969"/>
      <c r="AJ72" s="1992">
        <f t="shared" si="15"/>
        <v>0</v>
      </c>
      <c r="AK72" s="2540"/>
      <c r="AL72" s="1721">
        <f>ROUND(IF(AG72=0,0,AJ72/ABS(AG72)),3)</f>
        <v>0</v>
      </c>
    </row>
    <row r="73" spans="1:38" s="2177" customFormat="1" ht="15" customHeight="1">
      <c r="A73" s="2456"/>
      <c r="B73" s="2476" t="s">
        <v>988</v>
      </c>
      <c r="C73" s="2456"/>
      <c r="D73" s="2024">
        <f>'Exhibit G State'!D73+'Exhibit G Federal'!D45</f>
        <v>214.29999999999998</v>
      </c>
      <c r="E73" s="2024"/>
      <c r="F73" s="2024"/>
      <c r="G73" s="2024"/>
      <c r="H73" s="2024"/>
      <c r="I73" s="2520"/>
      <c r="J73" s="2024"/>
      <c r="K73" s="2532"/>
      <c r="L73" s="2024"/>
      <c r="M73" s="2532"/>
      <c r="N73" s="2024"/>
      <c r="O73" s="2532"/>
      <c r="P73" s="2024"/>
      <c r="Q73" s="2532"/>
      <c r="R73" s="2024"/>
      <c r="S73" s="2532"/>
      <c r="T73" s="2024"/>
      <c r="U73" s="2532"/>
      <c r="V73" s="2024"/>
      <c r="W73" s="2532"/>
      <c r="X73" s="1992"/>
      <c r="Y73" s="2532"/>
      <c r="Z73" s="2024"/>
      <c r="AA73" s="2024"/>
      <c r="AB73" s="1987">
        <v>0</v>
      </c>
      <c r="AC73" s="2031"/>
      <c r="AD73" s="1992">
        <f t="shared" si="10"/>
        <v>214.3</v>
      </c>
      <c r="AE73" s="1987"/>
      <c r="AF73" s="2031"/>
      <c r="AG73" s="2024">
        <f>'Exhibit G State'!AG73+'Exhibit G Federal'!AG45</f>
        <v>483</v>
      </c>
      <c r="AH73" s="3467"/>
      <c r="AI73" s="1969"/>
      <c r="AJ73" s="1992">
        <f t="shared" si="15"/>
        <v>-268.7</v>
      </c>
      <c r="AK73" s="2540"/>
      <c r="AL73" s="1716">
        <f t="shared" si="16"/>
        <v>-0.55600000000000005</v>
      </c>
    </row>
    <row r="74" spans="1:38" s="2177" customFormat="1" ht="15" customHeight="1">
      <c r="A74" s="2456"/>
      <c r="B74" s="2476" t="s">
        <v>989</v>
      </c>
      <c r="C74" s="2456"/>
      <c r="D74" s="2024">
        <f>'Exhibit G State'!D74+'Exhibit G Federal'!D46</f>
        <v>11.3</v>
      </c>
      <c r="E74" s="2024"/>
      <c r="F74" s="2024"/>
      <c r="G74" s="2024"/>
      <c r="H74" s="2024"/>
      <c r="I74" s="2520"/>
      <c r="J74" s="2024"/>
      <c r="K74" s="2532"/>
      <c r="L74" s="2024"/>
      <c r="M74" s="2532"/>
      <c r="N74" s="2024"/>
      <c r="O74" s="2532"/>
      <c r="P74" s="2024"/>
      <c r="Q74" s="2532"/>
      <c r="R74" s="2024"/>
      <c r="S74" s="2532"/>
      <c r="T74" s="2024"/>
      <c r="U74" s="2532"/>
      <c r="V74" s="2024"/>
      <c r="W74" s="2532"/>
      <c r="X74" s="1992"/>
      <c r="Y74" s="2532"/>
      <c r="Z74" s="2024"/>
      <c r="AA74" s="2024"/>
      <c r="AB74" s="1987">
        <v>0</v>
      </c>
      <c r="AC74" s="2031"/>
      <c r="AD74" s="1992">
        <f t="shared" si="10"/>
        <v>11.3</v>
      </c>
      <c r="AE74" s="1987"/>
      <c r="AF74" s="2031"/>
      <c r="AG74" s="2024">
        <f>'Exhibit G State'!AG74+'Exhibit G Federal'!AG46</f>
        <v>7.8</v>
      </c>
      <c r="AH74" s="3467"/>
      <c r="AI74" s="1969"/>
      <c r="AJ74" s="1992">
        <f t="shared" si="15"/>
        <v>3.5</v>
      </c>
      <c r="AK74" s="2540"/>
      <c r="AL74" s="1716">
        <f t="shared" si="16"/>
        <v>0.44900000000000001</v>
      </c>
    </row>
    <row r="75" spans="1:38" s="2177" customFormat="1" ht="15" customHeight="1">
      <c r="A75" s="2456"/>
      <c r="B75" s="2476" t="s">
        <v>990</v>
      </c>
      <c r="C75" s="2456"/>
      <c r="D75" s="2024">
        <f>'Exhibit G State'!D75+'Exhibit G Federal'!D47</f>
        <v>1.2</v>
      </c>
      <c r="E75" s="2024"/>
      <c r="F75" s="2024"/>
      <c r="G75" s="2024"/>
      <c r="H75" s="2024"/>
      <c r="I75" s="2520"/>
      <c r="J75" s="2024"/>
      <c r="K75" s="2532"/>
      <c r="L75" s="2024"/>
      <c r="M75" s="2532"/>
      <c r="N75" s="2024"/>
      <c r="O75" s="2532"/>
      <c r="P75" s="2024"/>
      <c r="Q75" s="2532"/>
      <c r="R75" s="2024"/>
      <c r="S75" s="2532"/>
      <c r="T75" s="2024"/>
      <c r="U75" s="2532"/>
      <c r="V75" s="2024"/>
      <c r="W75" s="2532"/>
      <c r="X75" s="1992"/>
      <c r="Y75" s="2532"/>
      <c r="Z75" s="2024"/>
      <c r="AA75" s="2024"/>
      <c r="AB75" s="1987">
        <v>0</v>
      </c>
      <c r="AC75" s="2031"/>
      <c r="AD75" s="1992">
        <f t="shared" si="10"/>
        <v>1.2</v>
      </c>
      <c r="AE75" s="1987"/>
      <c r="AF75" s="2031"/>
      <c r="AG75" s="2024">
        <f>'Exhibit G State'!AG75+'Exhibit G Federal'!AG47</f>
        <v>3.7</v>
      </c>
      <c r="AH75" s="3467"/>
      <c r="AI75" s="1969"/>
      <c r="AJ75" s="1992">
        <f t="shared" si="15"/>
        <v>-2.5</v>
      </c>
      <c r="AK75" s="2540"/>
      <c r="AL75" s="1721">
        <f>ROUND(IF(AG75=0,1,AJ75/ABS(AG75)),3)</f>
        <v>-0.67600000000000005</v>
      </c>
    </row>
    <row r="76" spans="1:38" s="2177" customFormat="1" ht="15" customHeight="1">
      <c r="A76" s="2456"/>
      <c r="B76" s="2476" t="s">
        <v>991</v>
      </c>
      <c r="C76" s="2456"/>
      <c r="D76" s="2024">
        <f>'Exhibit G State'!D76+'Exhibit G Federal'!D48</f>
        <v>2.4</v>
      </c>
      <c r="E76" s="2024"/>
      <c r="F76" s="2024"/>
      <c r="G76" s="2024"/>
      <c r="H76" s="2024"/>
      <c r="I76" s="2520"/>
      <c r="J76" s="2024"/>
      <c r="K76" s="2532"/>
      <c r="L76" s="2024"/>
      <c r="M76" s="2532"/>
      <c r="N76" s="2024"/>
      <c r="O76" s="2532"/>
      <c r="P76" s="2024"/>
      <c r="Q76" s="2532"/>
      <c r="R76" s="2024"/>
      <c r="S76" s="2532"/>
      <c r="T76" s="2024"/>
      <c r="U76" s="2532"/>
      <c r="V76" s="2024"/>
      <c r="W76" s="2532"/>
      <c r="X76" s="1992"/>
      <c r="Y76" s="2532"/>
      <c r="Z76" s="2024"/>
      <c r="AA76" s="2024"/>
      <c r="AB76" s="1987">
        <v>0</v>
      </c>
      <c r="AC76" s="2031"/>
      <c r="AD76" s="1992">
        <f t="shared" si="10"/>
        <v>2.4</v>
      </c>
      <c r="AE76" s="1987"/>
      <c r="AF76" s="2031"/>
      <c r="AG76" s="2024">
        <f>'Exhibit G State'!AG76+'Exhibit G Federal'!AG48</f>
        <v>6.1</v>
      </c>
      <c r="AH76" s="3467"/>
      <c r="AI76" s="1969"/>
      <c r="AJ76" s="1992">
        <f t="shared" si="15"/>
        <v>-3.7</v>
      </c>
      <c r="AK76" s="2540"/>
      <c r="AL76" s="1716">
        <f>ROUND(IF(AG76=0,0,AJ76/ABS(AG76)),3)</f>
        <v>-0.60699999999999998</v>
      </c>
    </row>
    <row r="77" spans="1:38" s="2177" customFormat="1" ht="15" customHeight="1">
      <c r="A77" s="2456"/>
      <c r="B77" s="2476" t="s">
        <v>992</v>
      </c>
      <c r="C77" s="2456"/>
      <c r="D77" s="2024">
        <f>'Exhibit G State'!D77+'Exhibit G Federal'!D49</f>
        <v>64.8</v>
      </c>
      <c r="E77" s="2024"/>
      <c r="F77" s="2024"/>
      <c r="G77" s="2024"/>
      <c r="H77" s="2024"/>
      <c r="I77" s="2520"/>
      <c r="J77" s="2024"/>
      <c r="K77" s="2532"/>
      <c r="L77" s="2024"/>
      <c r="M77" s="2532"/>
      <c r="N77" s="2024"/>
      <c r="O77" s="2532"/>
      <c r="P77" s="2024"/>
      <c r="Q77" s="2532"/>
      <c r="R77" s="2024"/>
      <c r="S77" s="2532"/>
      <c r="T77" s="2024"/>
      <c r="U77" s="2532"/>
      <c r="V77" s="2024"/>
      <c r="W77" s="2532"/>
      <c r="X77" s="1992"/>
      <c r="Y77" s="2532"/>
      <c r="Z77" s="2024"/>
      <c r="AA77" s="2024"/>
      <c r="AB77" s="1987">
        <v>0</v>
      </c>
      <c r="AC77" s="2031"/>
      <c r="AD77" s="1992">
        <f t="shared" si="10"/>
        <v>64.8</v>
      </c>
      <c r="AE77" s="1987"/>
      <c r="AF77" s="2031"/>
      <c r="AG77" s="2024">
        <f>'Exhibit G State'!AG77+'Exhibit G Federal'!AG49</f>
        <v>-24.599999999999998</v>
      </c>
      <c r="AH77" s="3467"/>
      <c r="AI77" s="1969"/>
      <c r="AJ77" s="1992">
        <f t="shared" si="15"/>
        <v>89.4</v>
      </c>
      <c r="AK77" s="2540"/>
      <c r="AL77" s="1721">
        <f>ROUND(IF(AG77=0,0,AJ77/ABS(AG77)),3)</f>
        <v>3.6339999999999999</v>
      </c>
    </row>
    <row r="78" spans="1:38" s="2177" customFormat="1" ht="15" customHeight="1">
      <c r="A78" s="2456"/>
      <c r="B78" s="2476" t="s">
        <v>964</v>
      </c>
      <c r="C78" s="2456"/>
      <c r="D78" s="2024">
        <f>'Exhibit G State'!D78+'Exhibit G Federal'!D50</f>
        <v>2.2000000000000002</v>
      </c>
      <c r="E78" s="2024"/>
      <c r="F78" s="2024"/>
      <c r="G78" s="2024"/>
      <c r="H78" s="2024"/>
      <c r="I78" s="2520"/>
      <c r="J78" s="2024"/>
      <c r="K78" s="2532"/>
      <c r="L78" s="2024"/>
      <c r="M78" s="2532"/>
      <c r="N78" s="2024"/>
      <c r="O78" s="2532"/>
      <c r="P78" s="2024"/>
      <c r="Q78" s="2532"/>
      <c r="R78" s="2024"/>
      <c r="S78" s="2532"/>
      <c r="T78" s="2024"/>
      <c r="U78" s="2532"/>
      <c r="V78" s="2024"/>
      <c r="W78" s="2532"/>
      <c r="X78" s="1992"/>
      <c r="Y78" s="2532"/>
      <c r="Z78" s="2024"/>
      <c r="AA78" s="2024"/>
      <c r="AB78" s="1987">
        <v>0</v>
      </c>
      <c r="AC78" s="2031"/>
      <c r="AD78" s="1987">
        <f t="shared" si="10"/>
        <v>2.2000000000000002</v>
      </c>
      <c r="AE78" s="1987"/>
      <c r="AF78" s="2031"/>
      <c r="AG78" s="2024">
        <f>'Exhibit G State'!AG78+'Exhibit G Federal'!AG50</f>
        <v>0.5</v>
      </c>
      <c r="AH78" s="3467"/>
      <c r="AI78" s="1969"/>
      <c r="AJ78" s="1992">
        <f t="shared" si="15"/>
        <v>1.7</v>
      </c>
      <c r="AK78" s="2540"/>
      <c r="AL78" s="1716">
        <f>ROUND(IF(AG78=0,0,AJ78/ABS(AG78)),3)</f>
        <v>3.4</v>
      </c>
    </row>
    <row r="79" spans="1:38" s="2177" customFormat="1" ht="15" customHeight="1">
      <c r="A79" s="2456"/>
      <c r="B79" s="2476" t="s">
        <v>965</v>
      </c>
      <c r="C79" s="2456"/>
      <c r="D79" s="2024">
        <f>'Exhibit G State'!D79+'Exhibit G Federal'!D51</f>
        <v>-75.7</v>
      </c>
      <c r="E79" s="2024"/>
      <c r="F79" s="2024"/>
      <c r="G79" s="2024"/>
      <c r="H79" s="2024"/>
      <c r="I79" s="2520"/>
      <c r="J79" s="2024"/>
      <c r="K79" s="2532"/>
      <c r="L79" s="2024"/>
      <c r="M79" s="2532"/>
      <c r="N79" s="2024"/>
      <c r="O79" s="2532"/>
      <c r="P79" s="2024"/>
      <c r="Q79" s="2532"/>
      <c r="R79" s="2024"/>
      <c r="S79" s="2532"/>
      <c r="T79" s="2024"/>
      <c r="U79" s="2532"/>
      <c r="V79" s="2024"/>
      <c r="W79" s="2532"/>
      <c r="X79" s="1992"/>
      <c r="Y79" s="2532"/>
      <c r="Z79" s="2024"/>
      <c r="AA79" s="2024"/>
      <c r="AB79" s="1987">
        <v>0</v>
      </c>
      <c r="AC79" s="2031"/>
      <c r="AD79" s="1987">
        <f t="shared" si="10"/>
        <v>-75.7</v>
      </c>
      <c r="AE79" s="1987"/>
      <c r="AF79" s="2031"/>
      <c r="AG79" s="2024">
        <f>'Exhibit G State'!AG79+'Exhibit G Federal'!AG51</f>
        <v>-67.5</v>
      </c>
      <c r="AH79" s="3467"/>
      <c r="AI79" s="1969"/>
      <c r="AJ79" s="1992">
        <f t="shared" si="15"/>
        <v>-8.1999999999999993</v>
      </c>
      <c r="AK79" s="2540"/>
      <c r="AL79" s="1716">
        <f>ROUND(IF(AG79=0,0,AJ79/ABS(AG79)),3)</f>
        <v>-0.121</v>
      </c>
    </row>
    <row r="80" spans="1:38" s="2546" customFormat="1" ht="15" customHeight="1">
      <c r="A80" s="2543"/>
      <c r="B80" s="2464" t="s">
        <v>1126</v>
      </c>
      <c r="C80" s="2543"/>
      <c r="D80" s="1453">
        <f>ROUND(SUM(D41:D79),1)</f>
        <v>1332.5</v>
      </c>
      <c r="E80" s="2520"/>
      <c r="F80" s="1453">
        <f>ROUND(SUM(F41:F79),1)</f>
        <v>0</v>
      </c>
      <c r="G80" s="2520"/>
      <c r="H80" s="2034">
        <f>ROUND(SUM(H41:H79),1)</f>
        <v>0</v>
      </c>
      <c r="I80" s="2520"/>
      <c r="J80" s="2034">
        <f>ROUND(SUM(J41:J79),1)</f>
        <v>0</v>
      </c>
      <c r="K80" s="2532"/>
      <c r="L80" s="1453">
        <f>ROUND(SUM(L41:L79),1)</f>
        <v>0</v>
      </c>
      <c r="M80" s="2532"/>
      <c r="N80" s="1453">
        <f>ROUND(SUM(N41:N79),1)</f>
        <v>0</v>
      </c>
      <c r="O80" s="2532"/>
      <c r="P80" s="1453">
        <f>ROUND(SUM(P41:P79),1)</f>
        <v>0</v>
      </c>
      <c r="Q80" s="2532"/>
      <c r="R80" s="1453">
        <f>ROUND(SUM(R41:R79),1)</f>
        <v>0</v>
      </c>
      <c r="S80" s="2532"/>
      <c r="T80" s="1453">
        <f>ROUND(SUM(T41:T79),1)</f>
        <v>0</v>
      </c>
      <c r="U80" s="2532"/>
      <c r="V80" s="1453">
        <f>ROUND(SUM(V41:V79),1)</f>
        <v>0</v>
      </c>
      <c r="W80" s="2532"/>
      <c r="X80" s="1453">
        <f>ROUND(SUM(X41:X79),1)</f>
        <v>0</v>
      </c>
      <c r="Y80" s="2532"/>
      <c r="Z80" s="1453">
        <f>ROUND(SUM(Z41:Z79),1)</f>
        <v>0</v>
      </c>
      <c r="AA80" s="1455"/>
      <c r="AB80" s="2025">
        <f>SUM(AB41:AB79)</f>
        <v>0</v>
      </c>
      <c r="AC80" s="2544"/>
      <c r="AD80" s="1453">
        <f>ROUND(SUM(AD41:AD79),1)</f>
        <v>1332.5</v>
      </c>
      <c r="AE80" s="2042"/>
      <c r="AF80" s="2544"/>
      <c r="AG80" s="1453">
        <f>ROUND(SUM(AG41:AG79),1)</f>
        <v>1361.9</v>
      </c>
      <c r="AH80" s="3466"/>
      <c r="AI80" s="1455"/>
      <c r="AJ80" s="1453">
        <f>ROUND(SUM(AJ41:AJ79),1)</f>
        <v>-29.4</v>
      </c>
      <c r="AK80" s="2545"/>
      <c r="AL80" s="1812">
        <f>ROUND(SUM(+AJ80/AG80),3)</f>
        <v>-2.1999999999999999E-2</v>
      </c>
    </row>
    <row r="81" spans="1:45" ht="15" customHeight="1">
      <c r="A81" s="2036"/>
      <c r="B81" s="2547"/>
      <c r="C81" s="2036"/>
      <c r="D81" s="2540"/>
      <c r="F81" s="2540"/>
      <c r="H81" s="1436"/>
      <c r="J81" s="1436"/>
      <c r="L81" s="1998"/>
      <c r="N81" s="1998"/>
      <c r="P81" s="1998"/>
      <c r="R81" s="1998"/>
      <c r="T81" s="1986"/>
      <c r="V81" s="2007"/>
      <c r="X81" s="2007"/>
      <c r="Z81" s="2007"/>
      <c r="AA81" s="2540"/>
      <c r="AB81" s="1998"/>
      <c r="AC81" s="2029"/>
      <c r="AD81" s="1987"/>
      <c r="AE81" s="1987"/>
      <c r="AF81" s="2031"/>
      <c r="AG81" s="1987"/>
      <c r="AH81" s="3463"/>
      <c r="AI81" s="1999"/>
      <c r="AJ81" s="1436"/>
      <c r="AK81" s="2533"/>
      <c r="AL81" s="1425"/>
    </row>
    <row r="82" spans="1:45" s="2177" customFormat="1" ht="15" customHeight="1">
      <c r="A82" s="2456"/>
      <c r="B82" s="2548" t="s">
        <v>148</v>
      </c>
      <c r="C82" s="2456"/>
      <c r="D82" s="2024">
        <f>'Exhibit G State'!D82+'Exhibit G Federal'!D54</f>
        <v>7158.4</v>
      </c>
      <c r="E82" s="2542"/>
      <c r="F82" s="2024"/>
      <c r="G82" s="2542"/>
      <c r="H82" s="2024"/>
      <c r="I82" s="2520"/>
      <c r="J82" s="2024"/>
      <c r="K82" s="2532"/>
      <c r="L82" s="2024"/>
      <c r="M82" s="2532"/>
      <c r="N82" s="2024"/>
      <c r="O82" s="2532"/>
      <c r="P82" s="2024"/>
      <c r="Q82" s="2532"/>
      <c r="R82" s="2024"/>
      <c r="S82" s="2532"/>
      <c r="T82" s="2024"/>
      <c r="U82" s="2532"/>
      <c r="V82" s="2024"/>
      <c r="W82" s="2532"/>
      <c r="X82" s="2024"/>
      <c r="Y82" s="2532"/>
      <c r="Z82" s="2024"/>
      <c r="AA82" s="2024"/>
      <c r="AB82" s="2549">
        <v>0</v>
      </c>
      <c r="AC82" s="2031"/>
      <c r="AD82" s="1987">
        <f t="shared" si="10"/>
        <v>7158.4</v>
      </c>
      <c r="AE82" s="1987"/>
      <c r="AF82" s="2031"/>
      <c r="AG82" s="2024">
        <f>'Exhibit G State'!AG82+'Exhibit G Federal'!AG54</f>
        <v>10777.4</v>
      </c>
      <c r="AH82" s="3463"/>
      <c r="AI82" s="1969"/>
      <c r="AJ82" s="2033">
        <f>ROUND(SUM(+AD82-AG82),1)</f>
        <v>-3619</v>
      </c>
      <c r="AK82" s="2550"/>
      <c r="AL82" s="1716">
        <f>ROUND(IF(AG82=0,0,AJ82/ABS(AG82)),3)</f>
        <v>-0.33600000000000002</v>
      </c>
    </row>
    <row r="83" spans="1:45" ht="15" customHeight="1">
      <c r="A83" s="2036"/>
      <c r="B83" s="2036"/>
      <c r="C83" s="2036"/>
      <c r="D83" s="1997"/>
      <c r="F83" s="1997"/>
      <c r="H83" s="2483"/>
      <c r="J83" s="2483"/>
      <c r="L83" s="1997"/>
      <c r="N83" s="1997"/>
      <c r="P83" s="1997"/>
      <c r="R83" s="1997"/>
      <c r="T83" s="2043"/>
      <c r="V83" s="1997"/>
      <c r="X83" s="1997"/>
      <c r="Z83" s="1997"/>
      <c r="AA83" s="1999"/>
      <c r="AB83" s="2551"/>
      <c r="AC83" s="1999"/>
      <c r="AD83" s="2043"/>
      <c r="AE83" s="1987"/>
      <c r="AF83" s="2031"/>
      <c r="AG83" s="2043"/>
      <c r="AH83" s="3463"/>
      <c r="AI83" s="1999"/>
      <c r="AJ83" s="2552"/>
      <c r="AL83" s="1439"/>
    </row>
    <row r="84" spans="1:45" ht="15" customHeight="1">
      <c r="A84" s="2036"/>
      <c r="B84" s="2418" t="s">
        <v>149</v>
      </c>
      <c r="C84" s="2036"/>
      <c r="D84" s="1454">
        <f>ROUND(SUM(D82+D80+D37),1)</f>
        <v>8877.5</v>
      </c>
      <c r="F84" s="1454">
        <f>ROUND(SUM(F82+F80+F37),1)</f>
        <v>0</v>
      </c>
      <c r="H84" s="1454">
        <f>ROUND(SUM(H82+H80+H37),1)</f>
        <v>0</v>
      </c>
      <c r="J84" s="1454">
        <f>ROUND(SUM(J82+J80+J37),1)</f>
        <v>0</v>
      </c>
      <c r="L84" s="1454">
        <f>ROUND(SUM(L82+L80+L37),1)</f>
        <v>0</v>
      </c>
      <c r="N84" s="1454">
        <f>ROUND(SUM(N82+N80+N37),1)</f>
        <v>0</v>
      </c>
      <c r="P84" s="1454">
        <f>ROUND(SUM(P82+P80+P37),1)</f>
        <v>0</v>
      </c>
      <c r="R84" s="1454">
        <f>ROUND(SUM(R82+R80+R37),1)</f>
        <v>0</v>
      </c>
      <c r="T84" s="2042">
        <f>ROUND(SUM(T82+T80+T37),1)</f>
        <v>0</v>
      </c>
      <c r="V84" s="1454">
        <f>ROUND(SUM(V82+V80+V37),1)</f>
        <v>0</v>
      </c>
      <c r="X84" s="1454">
        <f>ROUND(SUM(X82+X80+X37),1)</f>
        <v>0</v>
      </c>
      <c r="Z84" s="1454">
        <f>ROUND(SUM(Z82+Z80+Z37),1)</f>
        <v>0</v>
      </c>
      <c r="AA84" s="1454"/>
      <c r="AB84" s="2553">
        <f>ROUND(SUM(AB82+AB80+AB37),1)</f>
        <v>0</v>
      </c>
      <c r="AC84" s="2032"/>
      <c r="AD84" s="2042">
        <f>ROUND(SUM(AD82+AD80+AD37),1)</f>
        <v>8877.5</v>
      </c>
      <c r="AE84" s="2042"/>
      <c r="AF84" s="2544"/>
      <c r="AG84" s="2042">
        <f>ROUND(SUM(AG82+AG80+AG37),1)</f>
        <v>12393.3</v>
      </c>
      <c r="AH84" s="3466"/>
      <c r="AI84" s="1437"/>
      <c r="AJ84" s="2044">
        <f>ROUND(SUM(AJ82+AJ80+AJ37),1)</f>
        <v>-3515.8</v>
      </c>
      <c r="AK84" s="2554"/>
      <c r="AL84" s="1429">
        <f>ROUND(SUM(+AJ84/AG84),3)</f>
        <v>-0.28399999999999997</v>
      </c>
    </row>
    <row r="85" spans="1:45" ht="15" customHeight="1">
      <c r="A85" s="2036"/>
      <c r="B85" s="2036"/>
      <c r="C85" s="2036"/>
      <c r="D85" s="1997"/>
      <c r="F85" s="1997"/>
      <c r="H85" s="2483"/>
      <c r="J85" s="2483"/>
      <c r="L85" s="1997"/>
      <c r="N85" s="1997"/>
      <c r="P85" s="1997"/>
      <c r="R85" s="1997"/>
      <c r="T85" s="2043"/>
      <c r="V85" s="1997"/>
      <c r="X85" s="1997"/>
      <c r="Z85" s="1997"/>
      <c r="AA85" s="1999"/>
      <c r="AB85" s="1998"/>
      <c r="AC85" s="2029"/>
      <c r="AD85" s="2043"/>
      <c r="AE85" s="1987"/>
      <c r="AF85" s="2031"/>
      <c r="AG85" s="2043"/>
      <c r="AH85" s="3463"/>
      <c r="AI85" s="1999"/>
      <c r="AJ85" s="1436"/>
      <c r="AL85" s="1425"/>
    </row>
    <row r="86" spans="1:45" ht="15" customHeight="1">
      <c r="A86" s="2036"/>
      <c r="B86" s="2526" t="s">
        <v>22</v>
      </c>
      <c r="C86" s="2036"/>
      <c r="D86" s="1998"/>
      <c r="F86" s="1998"/>
      <c r="H86" s="1436"/>
      <c r="J86" s="1436"/>
      <c r="L86" s="1998"/>
      <c r="N86" s="1998"/>
      <c r="P86" s="1998"/>
      <c r="R86" s="1998"/>
      <c r="T86" s="1987"/>
      <c r="V86" s="1998"/>
      <c r="X86" s="1998"/>
      <c r="Z86" s="1998"/>
      <c r="AA86" s="1998"/>
      <c r="AB86" s="1998"/>
      <c r="AC86" s="2029"/>
      <c r="AD86" s="1987"/>
      <c r="AE86" s="3168"/>
      <c r="AF86" s="3160"/>
      <c r="AG86" s="1987"/>
      <c r="AH86" s="3463"/>
      <c r="AI86" s="1999"/>
      <c r="AJ86" s="1436"/>
      <c r="AL86" s="1425"/>
    </row>
    <row r="87" spans="1:45" ht="15" customHeight="1">
      <c r="A87" s="2036"/>
      <c r="B87" s="2460" t="s">
        <v>150</v>
      </c>
      <c r="C87" s="2036"/>
      <c r="D87" s="2540"/>
      <c r="F87" s="2540"/>
      <c r="H87" s="1992"/>
      <c r="J87" s="1992"/>
      <c r="L87" s="1987"/>
      <c r="N87" s="1987"/>
      <c r="P87" s="1987"/>
      <c r="R87" s="1987"/>
      <c r="T87" s="1986"/>
      <c r="V87" s="2007"/>
      <c r="X87" s="2007"/>
      <c r="Z87" s="2007"/>
      <c r="AA87" s="2540"/>
      <c r="AB87" s="1998"/>
      <c r="AC87" s="2029"/>
      <c r="AD87" s="1987"/>
      <c r="AE87" s="1987"/>
      <c r="AF87" s="2031"/>
      <c r="AG87" s="1987"/>
      <c r="AH87" s="3463"/>
      <c r="AI87" s="1999"/>
      <c r="AJ87" s="1436"/>
      <c r="AL87" s="1440"/>
    </row>
    <row r="88" spans="1:45" s="2177" customFormat="1" ht="15" customHeight="1">
      <c r="A88" s="2456"/>
      <c r="B88" s="2555" t="s">
        <v>24</v>
      </c>
      <c r="C88" s="2456"/>
      <c r="D88" s="2024">
        <f>'Exhibit G State'!D88+'Exhibit G Federal'!D60</f>
        <v>273.7</v>
      </c>
      <c r="E88" s="2542"/>
      <c r="F88" s="2024"/>
      <c r="G88" s="2542"/>
      <c r="H88" s="2024"/>
      <c r="I88" s="2520"/>
      <c r="J88" s="2024"/>
      <c r="K88" s="2532"/>
      <c r="L88" s="2024"/>
      <c r="M88" s="2532"/>
      <c r="N88" s="2024"/>
      <c r="O88" s="2532"/>
      <c r="P88" s="2024"/>
      <c r="Q88" s="2532"/>
      <c r="R88" s="2024"/>
      <c r="S88" s="2532"/>
      <c r="T88" s="2024"/>
      <c r="U88" s="2532"/>
      <c r="V88" s="2024"/>
      <c r="W88" s="2532"/>
      <c r="X88" s="2024"/>
      <c r="Y88" s="2532"/>
      <c r="Z88" s="2024"/>
      <c r="AA88" s="2024"/>
      <c r="AB88" s="1987">
        <v>0</v>
      </c>
      <c r="AC88" s="2031"/>
      <c r="AD88" s="1987">
        <f>ROUND(SUM(D88:Z88),1)</f>
        <v>273.7</v>
      </c>
      <c r="AE88" s="1987"/>
      <c r="AF88" s="2031"/>
      <c r="AG88" s="2024">
        <f>'Exhibit G State'!AG88+'Exhibit G Federal'!AG60</f>
        <v>383</v>
      </c>
      <c r="AH88" s="3463"/>
      <c r="AI88" s="1969"/>
      <c r="AJ88" s="1992">
        <f>ROUND(SUM(+AD88-AG88),1)</f>
        <v>-109.3</v>
      </c>
      <c r="AK88" s="2550"/>
      <c r="AL88" s="1716">
        <f>ROUND(IF(AG88=0,0,AJ88/ABS(AG88)),3)</f>
        <v>-0.28499999999999998</v>
      </c>
      <c r="AR88" s="1983"/>
      <c r="AS88" s="2556"/>
    </row>
    <row r="89" spans="1:45" s="2177" customFormat="1" ht="15" customHeight="1">
      <c r="A89" s="2456"/>
      <c r="B89" s="2555" t="s">
        <v>25</v>
      </c>
      <c r="C89" s="2456"/>
      <c r="D89" s="2024">
        <f>'Exhibit G State'!D89+'Exhibit G Federal'!D61</f>
        <v>0.4</v>
      </c>
      <c r="E89" s="2542"/>
      <c r="F89" s="2024"/>
      <c r="G89" s="2542"/>
      <c r="H89" s="2024"/>
      <c r="I89" s="2520"/>
      <c r="J89" s="2024"/>
      <c r="K89" s="2532"/>
      <c r="L89" s="2024"/>
      <c r="M89" s="2532"/>
      <c r="N89" s="2024"/>
      <c r="O89" s="2532"/>
      <c r="P89" s="2024"/>
      <c r="Q89" s="2532"/>
      <c r="R89" s="2024"/>
      <c r="S89" s="2532"/>
      <c r="T89" s="2024"/>
      <c r="U89" s="2532"/>
      <c r="V89" s="2024"/>
      <c r="W89" s="2532"/>
      <c r="X89" s="2024"/>
      <c r="Y89" s="2532"/>
      <c r="Z89" s="2024"/>
      <c r="AA89" s="2024"/>
      <c r="AB89" s="1987">
        <v>0</v>
      </c>
      <c r="AC89" s="2031"/>
      <c r="AD89" s="1987">
        <f>ROUND(SUM(D89:Z89),1)</f>
        <v>0.4</v>
      </c>
      <c r="AE89" s="1987"/>
      <c r="AF89" s="2031"/>
      <c r="AG89" s="2024">
        <f>'Exhibit G State'!AG89+'Exhibit G Federal'!AG61</f>
        <v>0</v>
      </c>
      <c r="AH89" s="3463"/>
      <c r="AI89" s="1969"/>
      <c r="AJ89" s="1992">
        <f>ROUND(SUM(+AD89-AG89),1)</f>
        <v>0.4</v>
      </c>
      <c r="AK89" s="2550"/>
      <c r="AL89" s="1721">
        <f>ROUND(IF(AG89=0,1,AJ89/ABS(AG89)),3)</f>
        <v>1</v>
      </c>
      <c r="AR89" s="2556"/>
      <c r="AS89" s="2556"/>
    </row>
    <row r="90" spans="1:45" s="2177" customFormat="1" ht="15" customHeight="1">
      <c r="A90" s="2456"/>
      <c r="B90" s="2555" t="s">
        <v>26</v>
      </c>
      <c r="C90" s="2456"/>
      <c r="D90" s="2024">
        <f>'Exhibit G State'!D90+'Exhibit G Federal'!D62</f>
        <v>21.299999999999997</v>
      </c>
      <c r="E90" s="2542"/>
      <c r="F90" s="2024"/>
      <c r="G90" s="2542"/>
      <c r="H90" s="2024"/>
      <c r="I90" s="2520"/>
      <c r="J90" s="2024"/>
      <c r="K90" s="2532"/>
      <c r="L90" s="2024"/>
      <c r="M90" s="2532"/>
      <c r="N90" s="2024"/>
      <c r="O90" s="2532"/>
      <c r="P90" s="2024"/>
      <c r="Q90" s="2532"/>
      <c r="R90" s="2024"/>
      <c r="S90" s="2532"/>
      <c r="T90" s="2024"/>
      <c r="U90" s="2532"/>
      <c r="V90" s="2024"/>
      <c r="W90" s="2532"/>
      <c r="X90" s="2024"/>
      <c r="Y90" s="2532"/>
      <c r="Z90" s="2024"/>
      <c r="AA90" s="2024"/>
      <c r="AB90" s="1987">
        <v>0</v>
      </c>
      <c r="AC90" s="2031"/>
      <c r="AD90" s="1987">
        <f>ROUND(SUM(D90:Z90),1)</f>
        <v>21.3</v>
      </c>
      <c r="AE90" s="1987"/>
      <c r="AF90" s="2031"/>
      <c r="AG90" s="2024">
        <f>'Exhibit G State'!AG90+'Exhibit G Federal'!AG62</f>
        <v>11.3</v>
      </c>
      <c r="AH90" s="3463"/>
      <c r="AI90" s="1969"/>
      <c r="AJ90" s="1992">
        <f>ROUND(SUM(+AD90-AG90),1)</f>
        <v>10</v>
      </c>
      <c r="AK90" s="2550"/>
      <c r="AL90" s="3767">
        <f>ROUND(IF(AG90=0,0,AJ90/ABS(AG90)),3)</f>
        <v>0.88500000000000001</v>
      </c>
      <c r="AR90" s="2556"/>
      <c r="AS90" s="2556"/>
    </row>
    <row r="91" spans="1:45" s="2177" customFormat="1" ht="15" customHeight="1">
      <c r="A91" s="2456"/>
      <c r="B91" s="2555" t="s">
        <v>27</v>
      </c>
      <c r="C91" s="2456"/>
      <c r="D91" s="1969"/>
      <c r="E91" s="2520"/>
      <c r="F91" s="1969"/>
      <c r="G91" s="2520"/>
      <c r="H91" s="1969"/>
      <c r="I91" s="2520"/>
      <c r="J91" s="1969"/>
      <c r="K91" s="2532"/>
      <c r="L91" s="1969"/>
      <c r="M91" s="2532"/>
      <c r="N91" s="1969"/>
      <c r="O91" s="2532"/>
      <c r="P91" s="1969"/>
      <c r="Q91" s="2532"/>
      <c r="R91" s="1969"/>
      <c r="S91" s="2532"/>
      <c r="T91" s="1969"/>
      <c r="U91" s="2532"/>
      <c r="V91" s="1969"/>
      <c r="W91" s="2532"/>
      <c r="X91" s="1969"/>
      <c r="Y91" s="2532"/>
      <c r="Z91" s="1969"/>
      <c r="AA91" s="1969"/>
      <c r="AB91" s="1987"/>
      <c r="AC91" s="2031"/>
      <c r="AD91" s="1987"/>
      <c r="AE91" s="1987"/>
      <c r="AF91" s="2031"/>
      <c r="AG91" s="1969"/>
      <c r="AH91" s="3463"/>
      <c r="AI91" s="1969"/>
      <c r="AJ91" s="1992" t="s">
        <v>14</v>
      </c>
      <c r="AK91" s="2557" t="s">
        <v>14</v>
      </c>
      <c r="AL91" s="1441" t="s">
        <v>14</v>
      </c>
      <c r="AR91" s="1983"/>
      <c r="AS91" s="1983"/>
    </row>
    <row r="92" spans="1:45" s="2177" customFormat="1" ht="15" customHeight="1">
      <c r="A92" s="2456"/>
      <c r="B92" s="2558" t="s">
        <v>28</v>
      </c>
      <c r="C92" s="2456"/>
      <c r="D92" s="2024">
        <f>'Exhibit G State'!D92+'Exhibit G Federal'!D64</f>
        <v>3758.1</v>
      </c>
      <c r="E92" s="2542"/>
      <c r="F92" s="2024"/>
      <c r="G92" s="2542"/>
      <c r="H92" s="2024"/>
      <c r="I92" s="2520"/>
      <c r="J92" s="2024"/>
      <c r="K92" s="2532"/>
      <c r="L92" s="2024"/>
      <c r="M92" s="2532"/>
      <c r="N92" s="2024"/>
      <c r="O92" s="2532"/>
      <c r="P92" s="2024"/>
      <c r="Q92" s="2532"/>
      <c r="R92" s="2024"/>
      <c r="S92" s="2532"/>
      <c r="T92" s="2024"/>
      <c r="U92" s="2532"/>
      <c r="V92" s="2024"/>
      <c r="W92" s="2532"/>
      <c r="X92" s="2024"/>
      <c r="Y92" s="2532"/>
      <c r="Z92" s="2024"/>
      <c r="AA92" s="2024"/>
      <c r="AB92" s="1987">
        <v>0</v>
      </c>
      <c r="AC92" s="2031"/>
      <c r="AD92" s="1987">
        <f t="shared" ref="AD92:AD97" si="17">ROUND(SUM(D92:Z92),1)</f>
        <v>3758.1</v>
      </c>
      <c r="AE92" s="1987"/>
      <c r="AF92" s="2031"/>
      <c r="AG92" s="2024">
        <f>'Exhibit G State'!AG92+'Exhibit G Federal'!AG64</f>
        <v>5180.9000000000005</v>
      </c>
      <c r="AH92" s="3463"/>
      <c r="AI92" s="1969"/>
      <c r="AJ92" s="1992">
        <f t="shared" ref="AJ92:AJ97" si="18">ROUND(SUM(+AD92-AG92),1)</f>
        <v>-1422.8</v>
      </c>
      <c r="AK92" s="2550"/>
      <c r="AL92" s="1716">
        <f t="shared" ref="AL92:AL97" si="19">ROUND(IF(AG92=0,0,AJ92/ABS(AG92)),3)</f>
        <v>-0.27500000000000002</v>
      </c>
      <c r="AR92" s="1983"/>
      <c r="AS92" s="1983"/>
    </row>
    <row r="93" spans="1:45" s="2177" customFormat="1" ht="15" customHeight="1">
      <c r="A93" s="2456"/>
      <c r="B93" s="2555" t="s">
        <v>29</v>
      </c>
      <c r="C93" s="2456"/>
      <c r="D93" s="2024">
        <f>'Exhibit G State'!D93+'Exhibit G Federal'!D65</f>
        <v>558.9</v>
      </c>
      <c r="E93" s="2542"/>
      <c r="F93" s="2024"/>
      <c r="G93" s="2542"/>
      <c r="H93" s="2024"/>
      <c r="I93" s="2520"/>
      <c r="J93" s="2024"/>
      <c r="K93" s="2532"/>
      <c r="L93" s="2024"/>
      <c r="M93" s="2532"/>
      <c r="N93" s="2024"/>
      <c r="O93" s="2532"/>
      <c r="P93" s="2024"/>
      <c r="Q93" s="2532"/>
      <c r="R93" s="2024"/>
      <c r="S93" s="2532"/>
      <c r="T93" s="2024"/>
      <c r="U93" s="2532"/>
      <c r="V93" s="2024"/>
      <c r="W93" s="2532"/>
      <c r="X93" s="2024"/>
      <c r="Y93" s="2532"/>
      <c r="Z93" s="2024"/>
      <c r="AA93" s="2024"/>
      <c r="AB93" s="1987">
        <v>0</v>
      </c>
      <c r="AC93" s="2031"/>
      <c r="AD93" s="1987">
        <f t="shared" si="17"/>
        <v>558.9</v>
      </c>
      <c r="AE93" s="1987"/>
      <c r="AF93" s="2031"/>
      <c r="AG93" s="2024">
        <f>'Exhibit G State'!AG93+'Exhibit G Federal'!AG65</f>
        <v>509.6</v>
      </c>
      <c r="AH93" s="3463"/>
      <c r="AI93" s="1969"/>
      <c r="AJ93" s="1992">
        <f t="shared" si="18"/>
        <v>49.3</v>
      </c>
      <c r="AK93" s="2550"/>
      <c r="AL93" s="1716">
        <f t="shared" si="19"/>
        <v>9.7000000000000003E-2</v>
      </c>
      <c r="AR93" s="1983"/>
      <c r="AS93" s="1983"/>
    </row>
    <row r="94" spans="1:45" s="2177" customFormat="1" ht="15" customHeight="1">
      <c r="A94" s="2456"/>
      <c r="B94" s="2555" t="s">
        <v>30</v>
      </c>
      <c r="C94" s="2456"/>
      <c r="D94" s="2024">
        <f>'Exhibit G State'!D94+'Exhibit G Federal'!D66</f>
        <v>123.2</v>
      </c>
      <c r="E94" s="2542"/>
      <c r="F94" s="2024"/>
      <c r="G94" s="2542"/>
      <c r="H94" s="2024"/>
      <c r="I94" s="2520"/>
      <c r="J94" s="2024"/>
      <c r="K94" s="2532"/>
      <c r="L94" s="2024"/>
      <c r="M94" s="2532"/>
      <c r="N94" s="2024"/>
      <c r="O94" s="2532"/>
      <c r="P94" s="2024"/>
      <c r="Q94" s="2532"/>
      <c r="R94" s="2024"/>
      <c r="S94" s="2532"/>
      <c r="T94" s="2024"/>
      <c r="U94" s="2532"/>
      <c r="V94" s="2024"/>
      <c r="W94" s="2532"/>
      <c r="X94" s="2024"/>
      <c r="Y94" s="2532"/>
      <c r="Z94" s="2024"/>
      <c r="AA94" s="2024"/>
      <c r="AB94" s="1987">
        <v>0</v>
      </c>
      <c r="AC94" s="2031"/>
      <c r="AD94" s="1987">
        <f t="shared" si="17"/>
        <v>123.2</v>
      </c>
      <c r="AE94" s="1987"/>
      <c r="AF94" s="2031"/>
      <c r="AG94" s="2024">
        <f>'Exhibit G State'!AG94+'Exhibit G Federal'!AG66</f>
        <v>92.4</v>
      </c>
      <c r="AH94" s="3463"/>
      <c r="AI94" s="1969"/>
      <c r="AJ94" s="1992">
        <f t="shared" si="18"/>
        <v>30.8</v>
      </c>
      <c r="AK94" s="2550"/>
      <c r="AL94" s="1716">
        <f t="shared" si="19"/>
        <v>0.33300000000000002</v>
      </c>
      <c r="AR94" s="1983"/>
      <c r="AS94" s="1983"/>
    </row>
    <row r="95" spans="1:45" s="2177" customFormat="1" ht="15" customHeight="1">
      <c r="A95" s="2456"/>
      <c r="B95" s="2555" t="s">
        <v>31</v>
      </c>
      <c r="C95" s="2456"/>
      <c r="D95" s="2024">
        <f>'Exhibit G State'!D95+'Exhibit G Federal'!D67</f>
        <v>158.69999999999999</v>
      </c>
      <c r="E95" s="2542"/>
      <c r="F95" s="2024"/>
      <c r="G95" s="2542"/>
      <c r="H95" s="2024"/>
      <c r="I95" s="2520"/>
      <c r="J95" s="2024"/>
      <c r="K95" s="2532"/>
      <c r="L95" s="2024"/>
      <c r="M95" s="2532"/>
      <c r="N95" s="2024"/>
      <c r="O95" s="2532"/>
      <c r="P95" s="2024"/>
      <c r="Q95" s="2532"/>
      <c r="R95" s="2024"/>
      <c r="S95" s="2532"/>
      <c r="T95" s="2024"/>
      <c r="U95" s="2532"/>
      <c r="V95" s="2024"/>
      <c r="W95" s="2532"/>
      <c r="X95" s="2024"/>
      <c r="Y95" s="2532"/>
      <c r="Z95" s="2024"/>
      <c r="AA95" s="2024"/>
      <c r="AB95" s="1987">
        <v>0</v>
      </c>
      <c r="AC95" s="2031"/>
      <c r="AD95" s="1987">
        <f t="shared" si="17"/>
        <v>158.69999999999999</v>
      </c>
      <c r="AE95" s="1987"/>
      <c r="AF95" s="2031"/>
      <c r="AG95" s="2024">
        <f>'Exhibit G State'!AG95+'Exhibit G Federal'!AG67</f>
        <v>134.9</v>
      </c>
      <c r="AH95" s="3463"/>
      <c r="AI95" s="1969"/>
      <c r="AJ95" s="1992">
        <f t="shared" si="18"/>
        <v>23.8</v>
      </c>
      <c r="AK95" s="2550"/>
      <c r="AL95" s="1716">
        <f t="shared" si="19"/>
        <v>0.17599999999999999</v>
      </c>
      <c r="AR95" s="1983"/>
      <c r="AS95" s="1983"/>
    </row>
    <row r="96" spans="1:45" s="2177" customFormat="1" ht="15" customHeight="1">
      <c r="A96" s="2456"/>
      <c r="B96" s="2555" t="s">
        <v>32</v>
      </c>
      <c r="C96" s="2456"/>
      <c r="D96" s="2024">
        <f>'Exhibit G State'!D96+'Exhibit G Federal'!D68</f>
        <v>0.5</v>
      </c>
      <c r="E96" s="2542"/>
      <c r="F96" s="2024"/>
      <c r="G96" s="2542"/>
      <c r="H96" s="2024"/>
      <c r="I96" s="2520"/>
      <c r="J96" s="2024"/>
      <c r="K96" s="2532"/>
      <c r="L96" s="2024"/>
      <c r="M96" s="2532"/>
      <c r="N96" s="2024"/>
      <c r="O96" s="2532"/>
      <c r="P96" s="2024"/>
      <c r="Q96" s="2532"/>
      <c r="R96" s="2024"/>
      <c r="S96" s="2532"/>
      <c r="T96" s="2024"/>
      <c r="U96" s="2532"/>
      <c r="V96" s="2024"/>
      <c r="W96" s="2532"/>
      <c r="X96" s="2024"/>
      <c r="Y96" s="2532"/>
      <c r="Z96" s="2024"/>
      <c r="AA96" s="2024"/>
      <c r="AB96" s="1987">
        <v>0</v>
      </c>
      <c r="AC96" s="2031"/>
      <c r="AD96" s="1987">
        <f t="shared" si="17"/>
        <v>0.5</v>
      </c>
      <c r="AE96" s="1987"/>
      <c r="AF96" s="2031"/>
      <c r="AG96" s="2024">
        <f>'Exhibit G State'!AG96+'Exhibit G Federal'!AG68</f>
        <v>0.3</v>
      </c>
      <c r="AH96" s="3463"/>
      <c r="AI96" s="1969"/>
      <c r="AJ96" s="1992">
        <f t="shared" si="18"/>
        <v>0.2</v>
      </c>
      <c r="AK96" s="2550"/>
      <c r="AL96" s="1721">
        <f>ROUND(IF(AG96=0,0,AJ96/ABS(AG96)),3)</f>
        <v>0.66700000000000004</v>
      </c>
      <c r="AR96" s="2556"/>
      <c r="AS96" s="2556"/>
    </row>
    <row r="97" spans="1:46" s="2177" customFormat="1" ht="15" customHeight="1">
      <c r="A97" s="2456"/>
      <c r="B97" s="2555" t="s">
        <v>33</v>
      </c>
      <c r="C97" s="2456"/>
      <c r="D97" s="2024">
        <f>'Exhibit G State'!D97+'Exhibit G Federal'!D69</f>
        <v>201.4</v>
      </c>
      <c r="E97" s="2542"/>
      <c r="F97" s="2024"/>
      <c r="G97" s="2542"/>
      <c r="H97" s="2024"/>
      <c r="I97" s="2520"/>
      <c r="J97" s="2024"/>
      <c r="K97" s="2532"/>
      <c r="L97" s="2024"/>
      <c r="M97" s="2532"/>
      <c r="N97" s="2024"/>
      <c r="O97" s="2532"/>
      <c r="P97" s="2024"/>
      <c r="Q97" s="2532"/>
      <c r="R97" s="2024"/>
      <c r="S97" s="2532"/>
      <c r="T97" s="2024"/>
      <c r="U97" s="2532"/>
      <c r="V97" s="2024"/>
      <c r="W97" s="2532"/>
      <c r="X97" s="2024"/>
      <c r="Y97" s="2532"/>
      <c r="Z97" s="2024"/>
      <c r="AA97" s="2024"/>
      <c r="AB97" s="1987">
        <v>0</v>
      </c>
      <c r="AC97" s="2031"/>
      <c r="AD97" s="1969">
        <f t="shared" si="17"/>
        <v>201.4</v>
      </c>
      <c r="AE97" s="1987"/>
      <c r="AF97" s="2031"/>
      <c r="AG97" s="2024">
        <f>'Exhibit G State'!AG97+'Exhibit G Federal'!AG69</f>
        <v>65.5</v>
      </c>
      <c r="AH97" s="3463"/>
      <c r="AI97" s="1969"/>
      <c r="AJ97" s="2033">
        <f t="shared" si="18"/>
        <v>135.9</v>
      </c>
      <c r="AK97" s="2550"/>
      <c r="AL97" s="1804">
        <f t="shared" si="19"/>
        <v>2.0750000000000002</v>
      </c>
      <c r="AM97" s="2559"/>
      <c r="AR97" s="2010"/>
      <c r="AS97" s="2010"/>
      <c r="AT97" s="2176"/>
    </row>
    <row r="98" spans="1:46" ht="15" customHeight="1">
      <c r="A98" s="2036"/>
      <c r="B98" s="2418" t="s">
        <v>1092</v>
      </c>
      <c r="C98" s="2036"/>
      <c r="D98" s="2025">
        <f>ROUND(SUM(D88:D97),1)</f>
        <v>5096.2</v>
      </c>
      <c r="F98" s="2025">
        <f>ROUND(SUM(F88:F97),1)</f>
        <v>0</v>
      </c>
      <c r="H98" s="2465">
        <f>ROUND(SUM(H88:H97),1)</f>
        <v>0</v>
      </c>
      <c r="J98" s="2465">
        <f>ROUND(SUM(J88:J97),1)</f>
        <v>0</v>
      </c>
      <c r="L98" s="2025">
        <f t="shared" ref="L98:V98" si="20">ROUND(SUM(L88:L97),1)</f>
        <v>0</v>
      </c>
      <c r="N98" s="2025">
        <f t="shared" ref="N98:P98" si="21">ROUND(SUM(N88:N97),1)</f>
        <v>0</v>
      </c>
      <c r="P98" s="2025">
        <f t="shared" si="21"/>
        <v>0</v>
      </c>
      <c r="R98" s="2025">
        <f t="shared" ref="R98" si="22">ROUND(SUM(R88:R97),1)</f>
        <v>0</v>
      </c>
      <c r="T98" s="2009">
        <f t="shared" si="20"/>
        <v>0</v>
      </c>
      <c r="V98" s="2025">
        <f t="shared" si="20"/>
        <v>0</v>
      </c>
      <c r="X98" s="2025">
        <f t="shared" ref="X98:Z98" si="23">ROUND(SUM(X88:X97),1)</f>
        <v>0</v>
      </c>
      <c r="Z98" s="2025">
        <f t="shared" si="23"/>
        <v>0</v>
      </c>
      <c r="AA98" s="1437"/>
      <c r="AB98" s="2025">
        <f>ROUND(SUM(AB88:AB97),1)</f>
        <v>0</v>
      </c>
      <c r="AC98" s="2032"/>
      <c r="AD98" s="2009">
        <f>ROUND(SUM(AD88:AD97),1)</f>
        <v>5096.2</v>
      </c>
      <c r="AE98" s="2042"/>
      <c r="AF98" s="2544"/>
      <c r="AG98" s="2009">
        <f>ROUND(SUM(AG88:AG97),1)</f>
        <v>6377.9</v>
      </c>
      <c r="AH98" s="3466"/>
      <c r="AI98" s="1437"/>
      <c r="AJ98" s="2025">
        <f>ROUND(SUM(AJ88:AJ97),1)</f>
        <v>-1281.7</v>
      </c>
      <c r="AK98" s="2045"/>
      <c r="AL98" s="1429">
        <f>ROUND(SUM(+AJ98/AG98),3)</f>
        <v>-0.20100000000000001</v>
      </c>
      <c r="AR98" s="2013"/>
      <c r="AS98" s="2010"/>
      <c r="AT98" s="2013"/>
    </row>
    <row r="99" spans="1:46" s="2177" customFormat="1" ht="15" customHeight="1">
      <c r="A99" s="2456"/>
      <c r="B99" s="2456" t="s">
        <v>168</v>
      </c>
      <c r="C99" s="2456"/>
      <c r="D99" s="1987"/>
      <c r="E99" s="2520"/>
      <c r="F99" s="1987"/>
      <c r="G99" s="2520"/>
      <c r="H99" s="1436"/>
      <c r="I99" s="2520"/>
      <c r="J99" s="1436"/>
      <c r="K99" s="2532"/>
      <c r="L99" s="1987"/>
      <c r="M99" s="2532"/>
      <c r="N99" s="1987"/>
      <c r="O99" s="2532"/>
      <c r="P99" s="1987"/>
      <c r="Q99" s="2532"/>
      <c r="R99" s="1987"/>
      <c r="S99" s="2532"/>
      <c r="T99" s="1987"/>
      <c r="U99" s="2532"/>
      <c r="V99" s="1987"/>
      <c r="W99" s="2532"/>
      <c r="X99" s="1987"/>
      <c r="Y99" s="2532"/>
      <c r="Z99" s="1987"/>
      <c r="AA99" s="1987"/>
      <c r="AB99" s="1987"/>
      <c r="AC99" s="2031"/>
      <c r="AD99" s="1987"/>
      <c r="AE99" s="1987"/>
      <c r="AF99" s="2031"/>
      <c r="AG99" s="1987"/>
      <c r="AH99" s="3463"/>
      <c r="AI99" s="1969"/>
      <c r="AJ99" s="1992"/>
      <c r="AL99" s="1810"/>
      <c r="AS99" s="1983"/>
    </row>
    <row r="100" spans="1:46" s="2177" customFormat="1" ht="15" customHeight="1">
      <c r="A100" s="2456"/>
      <c r="B100" s="2456" t="s">
        <v>152</v>
      </c>
      <c r="C100" s="2456"/>
      <c r="D100" s="2024">
        <f>'Exhibit G State'!D100+'Exhibit G Federal'!D72</f>
        <v>450.6</v>
      </c>
      <c r="E100" s="2542"/>
      <c r="F100" s="2024"/>
      <c r="G100" s="2542"/>
      <c r="H100" s="2024"/>
      <c r="I100" s="2520"/>
      <c r="J100" s="2024"/>
      <c r="K100" s="2532"/>
      <c r="L100" s="2024"/>
      <c r="M100" s="2532"/>
      <c r="N100" s="2024"/>
      <c r="O100" s="2532"/>
      <c r="P100" s="2024"/>
      <c r="Q100" s="2532"/>
      <c r="R100" s="2024"/>
      <c r="S100" s="2532"/>
      <c r="T100" s="2024"/>
      <c r="U100" s="2532"/>
      <c r="V100" s="2024"/>
      <c r="W100" s="2532"/>
      <c r="X100" s="2024"/>
      <c r="Y100" s="2532"/>
      <c r="Z100" s="2024"/>
      <c r="AA100" s="2024"/>
      <c r="AB100" s="1987">
        <v>0</v>
      </c>
      <c r="AC100" s="2031"/>
      <c r="AD100" s="1987">
        <f>ROUND(SUM(D100:Z100),1)</f>
        <v>450.6</v>
      </c>
      <c r="AE100" s="1987"/>
      <c r="AF100" s="2031"/>
      <c r="AG100" s="2024">
        <f>'Exhibit G State'!AG100+'Exhibit G Federal'!AG72</f>
        <v>675.8</v>
      </c>
      <c r="AH100" s="3463"/>
      <c r="AI100" s="1969"/>
      <c r="AJ100" s="1992">
        <f>ROUND(SUM(+AD100-AG100),1)</f>
        <v>-225.2</v>
      </c>
      <c r="AK100" s="2540"/>
      <c r="AL100" s="1716">
        <f>ROUND(IF(AG100=0,0,AJ100/ABS(AG100)),3)</f>
        <v>-0.33300000000000002</v>
      </c>
    </row>
    <row r="101" spans="1:46" s="2177" customFormat="1" ht="15" customHeight="1">
      <c r="A101" s="2456"/>
      <c r="B101" s="2456" t="s">
        <v>169</v>
      </c>
      <c r="C101" s="2456"/>
      <c r="D101" s="2024">
        <f>'Exhibit G State'!D101+'Exhibit G Federal'!D73</f>
        <v>382.5</v>
      </c>
      <c r="E101" s="2542"/>
      <c r="F101" s="2024"/>
      <c r="G101" s="2542"/>
      <c r="H101" s="2024"/>
      <c r="I101" s="2520"/>
      <c r="J101" s="2024"/>
      <c r="K101" s="2532"/>
      <c r="L101" s="2024"/>
      <c r="M101" s="2532"/>
      <c r="N101" s="2024"/>
      <c r="O101" s="2532"/>
      <c r="P101" s="2024"/>
      <c r="Q101" s="2532"/>
      <c r="R101" s="2024"/>
      <c r="S101" s="2532"/>
      <c r="T101" s="2024"/>
      <c r="U101" s="2532"/>
      <c r="V101" s="2024"/>
      <c r="W101" s="2532"/>
      <c r="X101" s="2024"/>
      <c r="Y101" s="2532"/>
      <c r="Z101" s="2024"/>
      <c r="AA101" s="2024"/>
      <c r="AB101" s="1987">
        <v>0</v>
      </c>
      <c r="AC101" s="2031"/>
      <c r="AD101" s="1987">
        <f>ROUND(SUM(D101:Z101),1)</f>
        <v>382.5</v>
      </c>
      <c r="AE101" s="1987"/>
      <c r="AF101" s="2031"/>
      <c r="AG101" s="2024">
        <f>'Exhibit G State'!AG101+'Exhibit G Federal'!AG73</f>
        <v>270.89999999999998</v>
      </c>
      <c r="AH101" s="3463"/>
      <c r="AI101" s="1969"/>
      <c r="AJ101" s="1992">
        <f>ROUND(SUM(+AD101-AG101),1)</f>
        <v>111.6</v>
      </c>
      <c r="AK101" s="2540"/>
      <c r="AL101" s="1716">
        <f>ROUND(IF(AG101=0,0,AJ101/ABS(AG101)),3)</f>
        <v>0.41199999999999998</v>
      </c>
    </row>
    <row r="102" spans="1:46" s="2177" customFormat="1" ht="15" customHeight="1">
      <c r="A102" s="2456"/>
      <c r="B102" s="2456" t="s">
        <v>170</v>
      </c>
      <c r="C102" s="2456"/>
      <c r="D102" s="2024">
        <f>'Exhibit G State'!D102+'Exhibit G Federal'!D74</f>
        <v>85.199999999999989</v>
      </c>
      <c r="E102" s="2542"/>
      <c r="F102" s="2024"/>
      <c r="G102" s="2542"/>
      <c r="H102" s="2024"/>
      <c r="I102" s="2520"/>
      <c r="J102" s="2024"/>
      <c r="K102" s="2532"/>
      <c r="L102" s="2024"/>
      <c r="M102" s="2532"/>
      <c r="N102" s="2024"/>
      <c r="O102" s="2532"/>
      <c r="P102" s="2024"/>
      <c r="Q102" s="2532"/>
      <c r="R102" s="2024"/>
      <c r="S102" s="2532"/>
      <c r="T102" s="2024"/>
      <c r="U102" s="2532"/>
      <c r="V102" s="2024"/>
      <c r="W102" s="2532"/>
      <c r="X102" s="2024"/>
      <c r="Y102" s="2532"/>
      <c r="Z102" s="2024"/>
      <c r="AA102" s="2024"/>
      <c r="AB102" s="1987">
        <v>0</v>
      </c>
      <c r="AC102" s="2031"/>
      <c r="AD102" s="1987">
        <f>ROUND(SUM(D102:Z102),1)</f>
        <v>85.2</v>
      </c>
      <c r="AE102" s="1987"/>
      <c r="AF102" s="2031"/>
      <c r="AG102" s="2024">
        <f>'Exhibit G State'!AG102+'Exhibit G Federal'!AG74</f>
        <v>75</v>
      </c>
      <c r="AH102" s="3463"/>
      <c r="AI102" s="1969"/>
      <c r="AJ102" s="1992">
        <f>ROUND(SUM(+AD102-AG102),1)</f>
        <v>10.199999999999999</v>
      </c>
      <c r="AK102" s="2540"/>
      <c r="AL102" s="1716">
        <f>ROUND(IF(AG102=0,0,AJ102/ABS(AG102)),3)</f>
        <v>0.13600000000000001</v>
      </c>
    </row>
    <row r="103" spans="1:46" s="2177" customFormat="1" ht="15" customHeight="1">
      <c r="A103" s="2456"/>
      <c r="B103" s="3088" t="s">
        <v>1295</v>
      </c>
      <c r="C103" s="2456"/>
      <c r="D103" s="2024"/>
      <c r="E103" s="2542"/>
      <c r="F103" s="2024"/>
      <c r="G103" s="2542"/>
      <c r="H103" s="2024"/>
      <c r="I103" s="2520"/>
      <c r="J103" s="2024"/>
      <c r="K103" s="2532"/>
      <c r="L103" s="2024"/>
      <c r="M103" s="2532"/>
      <c r="N103" s="2024"/>
      <c r="O103" s="2532"/>
      <c r="P103" s="2024"/>
      <c r="Q103" s="2532"/>
      <c r="R103" s="2024"/>
      <c r="S103" s="2532"/>
      <c r="T103" s="2024"/>
      <c r="U103" s="2532"/>
      <c r="V103" s="2024"/>
      <c r="W103" s="2532"/>
      <c r="X103" s="2024"/>
      <c r="Y103" s="2532"/>
      <c r="Z103" s="2024"/>
      <c r="AA103" s="2024"/>
      <c r="AB103" s="1987"/>
      <c r="AC103" s="2031"/>
      <c r="AD103" s="1987"/>
      <c r="AE103" s="1987"/>
      <c r="AF103" s="2031"/>
      <c r="AG103" s="2024"/>
      <c r="AH103" s="3463"/>
      <c r="AI103" s="1969"/>
      <c r="AJ103" s="1992"/>
      <c r="AK103" s="2540"/>
      <c r="AL103" s="1716"/>
    </row>
    <row r="104" spans="1:46" s="2177" customFormat="1" ht="15" customHeight="1">
      <c r="A104" s="2456"/>
      <c r="B104" s="3088" t="s">
        <v>1403</v>
      </c>
      <c r="C104" s="2456"/>
      <c r="D104" s="2024">
        <f>'Exhibit G Federal'!D76</f>
        <v>0</v>
      </c>
      <c r="E104" s="2542"/>
      <c r="F104" s="2024"/>
      <c r="G104" s="2542"/>
      <c r="H104" s="2024"/>
      <c r="I104" s="2520"/>
      <c r="J104" s="2024"/>
      <c r="K104" s="2532"/>
      <c r="L104" s="2024"/>
      <c r="M104" s="2532"/>
      <c r="N104" s="2024"/>
      <c r="O104" s="2532"/>
      <c r="P104" s="2024"/>
      <c r="Q104" s="2532"/>
      <c r="R104" s="2024"/>
      <c r="S104" s="2532"/>
      <c r="T104" s="2024"/>
      <c r="U104" s="2532"/>
      <c r="V104" s="2024"/>
      <c r="W104" s="2532"/>
      <c r="X104" s="2024"/>
      <c r="Y104" s="2532"/>
      <c r="Z104" s="2024"/>
      <c r="AA104" s="2024"/>
      <c r="AB104" s="1987">
        <v>0</v>
      </c>
      <c r="AC104" s="2031"/>
      <c r="AD104" s="1987">
        <f>ROUND(SUM(D104:Z104),1)</f>
        <v>0</v>
      </c>
      <c r="AE104" s="1987"/>
      <c r="AF104" s="2031"/>
      <c r="AG104" s="2024">
        <f>'Exhibit G Federal'!AG76</f>
        <v>0</v>
      </c>
      <c r="AH104" s="3463"/>
      <c r="AI104" s="1969"/>
      <c r="AJ104" s="1992">
        <f>ROUND(SUM(+AD104-AG104),1)</f>
        <v>0</v>
      </c>
      <c r="AK104" s="2540"/>
      <c r="AL104" s="1716">
        <f>ROUND(IF(AG104=0,0,AJ104/ABS(AG104)),3)</f>
        <v>0</v>
      </c>
    </row>
    <row r="105" spans="1:46" s="2177" customFormat="1" ht="15" customHeight="1">
      <c r="A105" s="2456"/>
      <c r="B105" s="2456" t="s">
        <v>171</v>
      </c>
      <c r="C105" s="2456"/>
      <c r="D105" s="2024">
        <f>'Exhibit G State'!D103+'Exhibit G Federal'!D77</f>
        <v>0</v>
      </c>
      <c r="E105" s="2542"/>
      <c r="F105" s="2024"/>
      <c r="G105" s="2542"/>
      <c r="H105" s="2024"/>
      <c r="I105" s="2520"/>
      <c r="J105" s="2024"/>
      <c r="K105" s="2532"/>
      <c r="L105" s="2024"/>
      <c r="M105" s="2532"/>
      <c r="N105" s="2024"/>
      <c r="O105" s="2532"/>
      <c r="P105" s="2024"/>
      <c r="Q105" s="2532"/>
      <c r="R105" s="2024"/>
      <c r="S105" s="2532"/>
      <c r="T105" s="2024"/>
      <c r="U105" s="2532"/>
      <c r="V105" s="2024"/>
      <c r="W105" s="2532"/>
      <c r="X105" s="2024"/>
      <c r="Y105" s="2532"/>
      <c r="Z105" s="2024"/>
      <c r="AA105" s="2024"/>
      <c r="AB105" s="2549">
        <v>0</v>
      </c>
      <c r="AC105" s="2031"/>
      <c r="AD105" s="1987">
        <f>ROUND(SUM(D105:Z105),1)</f>
        <v>0</v>
      </c>
      <c r="AE105" s="1987"/>
      <c r="AF105" s="2031"/>
      <c r="AG105" s="2024">
        <f>'Exhibit G State'!AG103+'Exhibit G Federal'!AG77</f>
        <v>0</v>
      </c>
      <c r="AH105" s="3463"/>
      <c r="AI105" s="1969"/>
      <c r="AJ105" s="2033">
        <f>ROUND(SUM(+AD105-AG105),1)</f>
        <v>0</v>
      </c>
      <c r="AK105" s="2550"/>
      <c r="AL105" s="1716">
        <f>ROUND(IF(AG105=0,0,AJ105/ABS(AG105)),3)</f>
        <v>0</v>
      </c>
    </row>
    <row r="106" spans="1:46" s="2177" customFormat="1" ht="15" customHeight="1">
      <c r="A106" s="2456"/>
      <c r="B106" s="2456"/>
      <c r="C106" s="2456"/>
      <c r="D106" s="2043"/>
      <c r="E106" s="2520"/>
      <c r="F106" s="2043"/>
      <c r="G106" s="2520"/>
      <c r="H106" s="2483"/>
      <c r="I106" s="2520"/>
      <c r="J106" s="2483"/>
      <c r="K106" s="2532"/>
      <c r="L106" s="2043"/>
      <c r="M106" s="2532"/>
      <c r="N106" s="2043"/>
      <c r="O106" s="2532"/>
      <c r="P106" s="2043"/>
      <c r="Q106" s="2532"/>
      <c r="R106" s="2043"/>
      <c r="S106" s="2532"/>
      <c r="T106" s="2043"/>
      <c r="U106" s="2532"/>
      <c r="V106" s="2043"/>
      <c r="W106" s="2532"/>
      <c r="X106" s="2043"/>
      <c r="Y106" s="2532"/>
      <c r="Z106" s="2043"/>
      <c r="AA106" s="1969"/>
      <c r="AB106" s="1987"/>
      <c r="AC106" s="2031"/>
      <c r="AD106" s="2043"/>
      <c r="AE106" s="1987"/>
      <c r="AF106" s="2031"/>
      <c r="AG106" s="2043"/>
      <c r="AH106" s="3463"/>
      <c r="AI106" s="1969"/>
      <c r="AJ106" s="2560"/>
      <c r="AL106" s="2561"/>
    </row>
    <row r="107" spans="1:46" s="2177" customFormat="1" ht="15" customHeight="1">
      <c r="A107" s="2456"/>
      <c r="B107" s="2543" t="s">
        <v>155</v>
      </c>
      <c r="C107" s="2456"/>
      <c r="D107" s="2042">
        <f>ROUND(SUM(D98:D105),1)</f>
        <v>6014.5</v>
      </c>
      <c r="E107" s="2520"/>
      <c r="F107" s="2042">
        <f>ROUND(SUM(F98:F105),1)</f>
        <v>0</v>
      </c>
      <c r="G107" s="2520"/>
      <c r="H107" s="1454">
        <f>ROUND(SUM(H98:H105),1)</f>
        <v>0</v>
      </c>
      <c r="I107" s="2520"/>
      <c r="J107" s="1454">
        <f>ROUND(SUM(J98:J105),1)</f>
        <v>0</v>
      </c>
      <c r="K107" s="2532"/>
      <c r="L107" s="2042">
        <f t="shared" ref="L107:V107" si="24">ROUND(SUM(L98:L105),1)</f>
        <v>0</v>
      </c>
      <c r="M107" s="2532"/>
      <c r="N107" s="2042">
        <f t="shared" ref="N107:P107" si="25">ROUND(SUM(N98:N105),1)</f>
        <v>0</v>
      </c>
      <c r="O107" s="2532"/>
      <c r="P107" s="2042">
        <f t="shared" si="25"/>
        <v>0</v>
      </c>
      <c r="Q107" s="2532"/>
      <c r="R107" s="2042">
        <f t="shared" ref="R107" si="26">ROUND(SUM(R98:R105),1)</f>
        <v>0</v>
      </c>
      <c r="S107" s="2532"/>
      <c r="T107" s="2042">
        <f t="shared" si="24"/>
        <v>0</v>
      </c>
      <c r="U107" s="2532"/>
      <c r="V107" s="2042">
        <f t="shared" si="24"/>
        <v>0</v>
      </c>
      <c r="W107" s="2532"/>
      <c r="X107" s="2042">
        <f t="shared" ref="X107:Z107" si="27">ROUND(SUM(X98:X105),1)</f>
        <v>0</v>
      </c>
      <c r="Y107" s="2532"/>
      <c r="Z107" s="2042">
        <f t="shared" si="27"/>
        <v>0</v>
      </c>
      <c r="AA107" s="2042"/>
      <c r="AB107" s="2562">
        <v>0</v>
      </c>
      <c r="AC107" s="2544"/>
      <c r="AD107" s="2042">
        <f>ROUND(SUM(AD98:AD105),1)</f>
        <v>6014.5</v>
      </c>
      <c r="AE107" s="2042"/>
      <c r="AF107" s="2544"/>
      <c r="AG107" s="2042">
        <f>ROUND(SUM(AG98:AG105),1)</f>
        <v>7399.6</v>
      </c>
      <c r="AH107" s="3466"/>
      <c r="AI107" s="1455"/>
      <c r="AJ107" s="2046">
        <f>ROUND(SUM(AJ98:AJ105),1)</f>
        <v>-1385.1</v>
      </c>
      <c r="AK107" s="2428"/>
      <c r="AL107" s="2563">
        <f>ROUND(SUM(+AJ107/AG107),3)</f>
        <v>-0.187</v>
      </c>
    </row>
    <row r="108" spans="1:46" ht="15" customHeight="1">
      <c r="A108" s="2036"/>
      <c r="B108" s="2036"/>
      <c r="C108" s="2036"/>
      <c r="D108" s="1997"/>
      <c r="F108" s="1997"/>
      <c r="H108" s="2483"/>
      <c r="J108" s="2483"/>
      <c r="L108" s="1997"/>
      <c r="N108" s="1997"/>
      <c r="P108" s="1997"/>
      <c r="R108" s="1997"/>
      <c r="T108" s="2043"/>
      <c r="V108" s="1997"/>
      <c r="X108" s="1997"/>
      <c r="Z108" s="1997"/>
      <c r="AA108" s="1999"/>
      <c r="AB108" s="1998"/>
      <c r="AC108" s="2029"/>
      <c r="AD108" s="2043"/>
      <c r="AE108" s="1987"/>
      <c r="AF108" s="2031"/>
      <c r="AG108" s="2043"/>
      <c r="AH108" s="3463"/>
      <c r="AI108" s="1999"/>
      <c r="AJ108" s="1436"/>
      <c r="AL108" s="1425"/>
    </row>
    <row r="109" spans="1:46" ht="15" customHeight="1">
      <c r="A109" s="2036"/>
      <c r="B109" s="2418" t="s">
        <v>156</v>
      </c>
      <c r="C109" s="2036"/>
      <c r="D109" s="1998"/>
      <c r="F109" s="1998"/>
      <c r="H109" s="1436"/>
      <c r="J109" s="1436"/>
      <c r="L109" s="1998"/>
      <c r="N109" s="1998"/>
      <c r="P109" s="1998"/>
      <c r="R109" s="1998"/>
      <c r="T109" s="1987"/>
      <c r="V109" s="1998"/>
      <c r="X109" s="1998"/>
      <c r="Z109" s="1998"/>
      <c r="AA109" s="1998"/>
      <c r="AB109" s="1998"/>
      <c r="AC109" s="2029"/>
      <c r="AD109" s="1987" t="s">
        <v>157</v>
      </c>
      <c r="AE109" s="3441"/>
      <c r="AF109" s="3442"/>
      <c r="AG109" s="1987"/>
      <c r="AH109" s="3468"/>
      <c r="AI109" s="2564"/>
      <c r="AJ109" s="1436"/>
      <c r="AL109" s="1425"/>
    </row>
    <row r="110" spans="1:46" ht="15" customHeight="1">
      <c r="A110" s="2036"/>
      <c r="B110" s="2418" t="s">
        <v>44</v>
      </c>
      <c r="C110" s="2036"/>
      <c r="D110" s="1454">
        <f>ROUND(SUM(D84-D107),1)</f>
        <v>2863</v>
      </c>
      <c r="F110" s="1454">
        <f>ROUND(SUM(F84-F107),1)</f>
        <v>0</v>
      </c>
      <c r="G110" s="1454">
        <f>ROUND(SUM(G84-G107),1)</f>
        <v>0</v>
      </c>
      <c r="H110" s="1454">
        <f>ROUND(SUM(H84-H107),1)</f>
        <v>0</v>
      </c>
      <c r="J110" s="1454">
        <f>ROUND(SUM(J84-J107),1)</f>
        <v>0</v>
      </c>
      <c r="L110" s="1454">
        <f>ROUND(SUM(L84-L107),1)</f>
        <v>0</v>
      </c>
      <c r="N110" s="1454">
        <f>ROUND(SUM(N84-N107),1)</f>
        <v>0</v>
      </c>
      <c r="P110" s="1454">
        <f>ROUND(SUM(P84-P107),1)</f>
        <v>0</v>
      </c>
      <c r="R110" s="1454">
        <f>ROUND(SUM(R84-R107),1)</f>
        <v>0</v>
      </c>
      <c r="T110" s="2042">
        <f>ROUND(SUM(T84-T107),1)</f>
        <v>0</v>
      </c>
      <c r="V110" s="1454">
        <f>ROUND(SUM(V84-V107),1)</f>
        <v>0</v>
      </c>
      <c r="X110" s="1454">
        <f>ROUND(SUM(X84-X107),1)</f>
        <v>0</v>
      </c>
      <c r="Z110" s="2042">
        <f>ROUND(SUM(Z84-Z107),1)</f>
        <v>0</v>
      </c>
      <c r="AA110" s="2042"/>
      <c r="AB110" s="2562">
        <v>0</v>
      </c>
      <c r="AC110" s="2544"/>
      <c r="AD110" s="2042">
        <f>ROUND(SUM(AD84-AD107),1)</f>
        <v>2863</v>
      </c>
      <c r="AE110" s="2042"/>
      <c r="AF110" s="2544"/>
      <c r="AG110" s="2042">
        <f>ROUND(SUM(AG84-AG107),1)</f>
        <v>4993.7</v>
      </c>
      <c r="AH110" s="3466"/>
      <c r="AI110" s="1455"/>
      <c r="AJ110" s="1552">
        <f>ROUND(SUM(AJ84-AJ107),1)</f>
        <v>-2130.6999999999998</v>
      </c>
      <c r="AK110" s="2419"/>
      <c r="AL110" s="1850">
        <f>ROUND(SUM(+AJ110/ABS(AG110)),3)</f>
        <v>-0.42699999999999999</v>
      </c>
    </row>
    <row r="111" spans="1:46" ht="15" customHeight="1">
      <c r="A111" s="2036"/>
      <c r="B111" s="2036"/>
      <c r="C111" s="2036"/>
      <c r="D111" s="1997"/>
      <c r="F111" s="1997"/>
      <c r="H111" s="2483"/>
      <c r="J111" s="2483"/>
      <c r="L111" s="1997"/>
      <c r="N111" s="1997"/>
      <c r="P111" s="1997"/>
      <c r="R111" s="1997"/>
      <c r="T111" s="2043"/>
      <c r="V111" s="1997"/>
      <c r="X111" s="1997"/>
      <c r="Z111" s="2043"/>
      <c r="AA111" s="1969"/>
      <c r="AB111" s="1987"/>
      <c r="AC111" s="2031"/>
      <c r="AD111" s="2043"/>
      <c r="AE111" s="1987"/>
      <c r="AF111" s="2031"/>
      <c r="AG111" s="2043"/>
      <c r="AH111" s="3463"/>
      <c r="AI111" s="1969"/>
      <c r="AJ111" s="1992"/>
      <c r="AL111" s="1425"/>
    </row>
    <row r="112" spans="1:46" ht="15" customHeight="1">
      <c r="A112" s="2036"/>
      <c r="B112" s="2418" t="s">
        <v>45</v>
      </c>
      <c r="C112" s="2036"/>
      <c r="D112" s="1998"/>
      <c r="F112" s="1998"/>
      <c r="H112" s="1436"/>
      <c r="J112" s="1436"/>
      <c r="L112" s="1998"/>
      <c r="N112" s="1998"/>
      <c r="P112" s="1998"/>
      <c r="R112" s="1998"/>
      <c r="T112" s="1987"/>
      <c r="V112" s="1998"/>
      <c r="X112" s="1998"/>
      <c r="Z112" s="1992" t="s">
        <v>14</v>
      </c>
      <c r="AA112" s="1987"/>
      <c r="AB112" s="1987"/>
      <c r="AC112" s="2031"/>
      <c r="AD112" s="1987"/>
      <c r="AE112" s="1987"/>
      <c r="AF112" s="2031"/>
      <c r="AG112" s="1987"/>
      <c r="AH112" s="3463"/>
      <c r="AI112" s="1969"/>
      <c r="AJ112" s="1992"/>
      <c r="AL112" s="1425"/>
    </row>
    <row r="113" spans="1:49" s="2177" customFormat="1" ht="15" customHeight="1">
      <c r="A113" s="2456"/>
      <c r="B113" s="2456" t="s">
        <v>172</v>
      </c>
      <c r="C113" s="2456"/>
      <c r="D113" s="2565">
        <f>+'Exhibit G State'!D111+'Exhibit G Federal'!D85</f>
        <v>263.5</v>
      </c>
      <c r="E113" s="2024"/>
      <c r="F113" s="2565"/>
      <c r="G113" s="2024"/>
      <c r="H113" s="2565"/>
      <c r="I113" s="2565"/>
      <c r="J113" s="2565"/>
      <c r="K113" s="2532"/>
      <c r="L113" s="2565"/>
      <c r="M113" s="2532"/>
      <c r="N113" s="2565"/>
      <c r="O113" s="2532"/>
      <c r="P113" s="2565"/>
      <c r="Q113" s="2532"/>
      <c r="R113" s="2565"/>
      <c r="S113" s="2532"/>
      <c r="T113" s="2565"/>
      <c r="U113" s="2532"/>
      <c r="V113" s="2565"/>
      <c r="W113" s="2532"/>
      <c r="X113" s="2565"/>
      <c r="Y113" s="2532"/>
      <c r="Z113" s="2565"/>
      <c r="AA113" s="2112"/>
      <c r="AB113" s="1781">
        <v>-31</v>
      </c>
      <c r="AC113" s="2031"/>
      <c r="AD113" s="1987">
        <f>ROUND(SUM(D113:AB113),1)</f>
        <v>232.5</v>
      </c>
      <c r="AE113" s="1987"/>
      <c r="AF113" s="2031"/>
      <c r="AG113" s="2024">
        <f>'Exhibit G State'!AG111+'Exhibit G Federal'!AG85-70.9</f>
        <v>151.79999999999998</v>
      </c>
      <c r="AH113" s="3463"/>
      <c r="AI113" s="1969"/>
      <c r="AJ113" s="2033">
        <f>ROUND(SUM(+AD113-AG113),1)</f>
        <v>80.7</v>
      </c>
      <c r="AK113" s="2550"/>
      <c r="AL113" s="1716">
        <f>ROUND(IF(AG113=0,0,AJ113/ABS(AG113)),3)</f>
        <v>0.53200000000000003</v>
      </c>
    </row>
    <row r="114" spans="1:49" s="2177" customFormat="1" ht="15" customHeight="1">
      <c r="A114" s="2456"/>
      <c r="B114" s="2456" t="s">
        <v>173</v>
      </c>
      <c r="C114" s="2456"/>
      <c r="D114" s="2565">
        <f>+'Exhibit G State'!D112+'Exhibit G Federal'!D86</f>
        <v>-165.9</v>
      </c>
      <c r="E114" s="2024"/>
      <c r="F114" s="2565"/>
      <c r="G114" s="2024"/>
      <c r="H114" s="2565"/>
      <c r="I114" s="2532"/>
      <c r="J114" s="2565"/>
      <c r="K114" s="2532"/>
      <c r="L114" s="2565"/>
      <c r="M114" s="2532"/>
      <c r="N114" s="2565"/>
      <c r="O114" s="2532"/>
      <c r="P114" s="2565"/>
      <c r="Q114" s="2532"/>
      <c r="R114" s="2565"/>
      <c r="S114" s="2532"/>
      <c r="T114" s="2565"/>
      <c r="U114" s="2532"/>
      <c r="V114" s="2565"/>
      <c r="W114" s="2532"/>
      <c r="X114" s="2565"/>
      <c r="Y114" s="2532"/>
      <c r="Z114" s="2565"/>
      <c r="AA114" s="2112"/>
      <c r="AB114" s="3422">
        <v>31</v>
      </c>
      <c r="AC114" s="2031"/>
      <c r="AD114" s="1987">
        <f>ROUND(SUM(D114:AB114),1)</f>
        <v>-134.9</v>
      </c>
      <c r="AE114" s="1987"/>
      <c r="AF114" s="2031"/>
      <c r="AG114" s="2024">
        <f>'Exhibit G State'!AG112+'Exhibit G Federal'!AG86+70.9</f>
        <v>-233.6</v>
      </c>
      <c r="AH114" s="3463"/>
      <c r="AI114" s="1969"/>
      <c r="AJ114" s="2033">
        <f>ROUND(SUM(+AD114-AG114)*-1,1)</f>
        <v>-98.7</v>
      </c>
      <c r="AK114" s="2550"/>
      <c r="AL114" s="1716">
        <f>ROUND(IF(AG114=0,0,AJ114/ABS(AG114)),3)</f>
        <v>-0.42299999999999999</v>
      </c>
    </row>
    <row r="115" spans="1:49" ht="15" customHeight="1">
      <c r="A115" s="2036"/>
      <c r="B115" s="2036"/>
      <c r="C115" s="2036"/>
      <c r="D115" s="1997"/>
      <c r="F115" s="1997"/>
      <c r="H115" s="1997"/>
      <c r="J115" s="1997"/>
      <c r="L115" s="1997"/>
      <c r="N115" s="1997"/>
      <c r="P115" s="1997"/>
      <c r="R115" s="1997"/>
      <c r="T115" s="2043"/>
      <c r="V115" s="1997"/>
      <c r="X115" s="1997"/>
      <c r="Z115" s="2043"/>
      <c r="AA115" s="1969"/>
      <c r="AB115" s="1987"/>
      <c r="AC115" s="2031"/>
      <c r="AD115" s="2043"/>
      <c r="AE115" s="1987"/>
      <c r="AF115" s="2031"/>
      <c r="AG115" s="2043"/>
      <c r="AH115" s="3463"/>
      <c r="AI115" s="1969"/>
      <c r="AJ115" s="2560"/>
      <c r="AL115" s="1439"/>
    </row>
    <row r="116" spans="1:49" ht="15" customHeight="1">
      <c r="A116" s="2036"/>
      <c r="B116" s="2418" t="s">
        <v>1093</v>
      </c>
      <c r="C116" s="2036"/>
      <c r="D116" s="1454">
        <f>ROUND(SUM(D113:D114),1)</f>
        <v>97.6</v>
      </c>
      <c r="F116" s="1454">
        <f>ROUND(SUM(F113:F114),1)</f>
        <v>0</v>
      </c>
      <c r="H116" s="1454">
        <f>ROUND(SUM(H113:H114),1)</f>
        <v>0</v>
      </c>
      <c r="J116" s="1454">
        <f>ROUND(SUM(J113:J114),1)</f>
        <v>0</v>
      </c>
      <c r="L116" s="1454">
        <f>ROUND(SUM(L113:L114),1)</f>
        <v>0</v>
      </c>
      <c r="N116" s="1454">
        <f>ROUND(SUM(N113:N114),1)</f>
        <v>0</v>
      </c>
      <c r="P116" s="1454">
        <f>ROUND(SUM(P113:P114),1)</f>
        <v>0</v>
      </c>
      <c r="R116" s="1454">
        <f>ROUND(SUM(R113:R114),1)</f>
        <v>0</v>
      </c>
      <c r="T116" s="2042">
        <f>ROUND(SUM(T113:T114),1)</f>
        <v>0</v>
      </c>
      <c r="V116" s="1454">
        <f>ROUND(SUM(V113:V114),1)</f>
        <v>0</v>
      </c>
      <c r="X116" s="1454">
        <f>ROUND(SUM(X113:X114),1)</f>
        <v>0</v>
      </c>
      <c r="Z116" s="1454">
        <f>ROUND(SUM(Z113:Z114),1)</f>
        <v>0</v>
      </c>
      <c r="AA116" s="1454"/>
      <c r="AB116" s="2553">
        <f>ROUND(SUM(AB113:AB114),1)</f>
        <v>0</v>
      </c>
      <c r="AC116" s="2032"/>
      <c r="AD116" s="2042">
        <f>ROUND(SUM(AD113:AD114),1)</f>
        <v>97.6</v>
      </c>
      <c r="AE116" s="2042"/>
      <c r="AF116" s="2544"/>
      <c r="AG116" s="2042">
        <f>ROUND(SUM(AG113:AG114),1)</f>
        <v>-81.8</v>
      </c>
      <c r="AH116" s="3466"/>
      <c r="AI116" s="1437"/>
      <c r="AJ116" s="2044">
        <f>ROUND(SUM(AD116-AG116),1)</f>
        <v>179.4</v>
      </c>
      <c r="AK116" s="2045"/>
      <c r="AL116" s="1429">
        <f>ROUND(SUM(+AJ116/AG116),3)</f>
        <v>-2.1930000000000001</v>
      </c>
    </row>
    <row r="117" spans="1:49" ht="15" customHeight="1">
      <c r="A117" s="2036"/>
      <c r="B117" s="2036"/>
      <c r="C117" s="2036"/>
      <c r="D117" s="1997"/>
      <c r="F117" s="1997"/>
      <c r="H117" s="1997"/>
      <c r="J117" s="1997"/>
      <c r="L117" s="1997"/>
      <c r="N117" s="1997"/>
      <c r="P117" s="1997"/>
      <c r="R117" s="1997"/>
      <c r="T117" s="2043"/>
      <c r="V117" s="1997"/>
      <c r="X117" s="1997"/>
      <c r="Z117" s="1997"/>
      <c r="AA117" s="1999"/>
      <c r="AB117" s="1998"/>
      <c r="AC117" s="2029"/>
      <c r="AD117" s="2043"/>
      <c r="AE117" s="1987"/>
      <c r="AF117" s="2031"/>
      <c r="AG117" s="2043"/>
      <c r="AH117" s="3463"/>
      <c r="AI117" s="1999"/>
      <c r="AJ117" s="1436"/>
      <c r="AL117" s="1425"/>
    </row>
    <row r="118" spans="1:49" ht="15" customHeight="1">
      <c r="A118" s="2036"/>
      <c r="B118" s="2418" t="s">
        <v>164</v>
      </c>
      <c r="C118" s="2036"/>
      <c r="D118" s="1998"/>
      <c r="F118" s="1998"/>
      <c r="H118" s="1998"/>
      <c r="J118" s="1998"/>
      <c r="L118" s="1998"/>
      <c r="N118" s="1998"/>
      <c r="P118" s="1998"/>
      <c r="R118" s="1998"/>
      <c r="T118" s="1987"/>
      <c r="V118" s="1998"/>
      <c r="X118" s="1998"/>
      <c r="Z118" s="1998"/>
      <c r="AA118" s="1998"/>
      <c r="AB118" s="1998"/>
      <c r="AC118" s="2029"/>
      <c r="AD118" s="1987"/>
      <c r="AE118" s="1987"/>
      <c r="AF118" s="2031"/>
      <c r="AG118" s="1987"/>
      <c r="AH118" s="3463"/>
      <c r="AI118" s="1999"/>
      <c r="AJ118" s="1436"/>
      <c r="AL118" s="1425"/>
    </row>
    <row r="119" spans="1:49" ht="15" customHeight="1">
      <c r="A119" s="2036"/>
      <c r="B119" s="2418" t="s">
        <v>165</v>
      </c>
      <c r="C119" s="2036"/>
      <c r="D119" s="1998"/>
      <c r="F119" s="1998"/>
      <c r="H119" s="1998"/>
      <c r="J119" s="1998"/>
      <c r="L119" s="1998"/>
      <c r="N119" s="1998"/>
      <c r="P119" s="1998"/>
      <c r="R119" s="1998"/>
      <c r="T119" s="1987"/>
      <c r="V119" s="1998"/>
      <c r="X119" s="1998"/>
      <c r="Z119" s="1998"/>
      <c r="AA119" s="1998"/>
      <c r="AB119" s="1998"/>
      <c r="AC119" s="2029"/>
      <c r="AD119" s="1987"/>
      <c r="AE119" s="1987"/>
      <c r="AF119" s="2031"/>
      <c r="AG119" s="1987"/>
      <c r="AH119" s="3463"/>
      <c r="AI119" s="1999"/>
      <c r="AJ119" s="1436"/>
      <c r="AL119" s="1425"/>
    </row>
    <row r="120" spans="1:49" ht="15" customHeight="1">
      <c r="A120" s="2036"/>
      <c r="B120" s="2418" t="s">
        <v>1094</v>
      </c>
      <c r="C120" s="2036"/>
      <c r="D120" s="1454">
        <f>ROUND(SUM(D110+D116),1)</f>
        <v>2960.6</v>
      </c>
      <c r="F120" s="1454">
        <f>ROUND(SUM(F110+F116),1)</f>
        <v>0</v>
      </c>
      <c r="H120" s="1454">
        <f>ROUND(SUM(H110+H116),1)</f>
        <v>0</v>
      </c>
      <c r="J120" s="1454">
        <f>ROUND(SUM(J110+J116),1)</f>
        <v>0</v>
      </c>
      <c r="L120" s="1454">
        <f>ROUND(SUM(L110+L116),1)</f>
        <v>0</v>
      </c>
      <c r="N120" s="1454">
        <f>ROUND(SUM(N110+N116),1)</f>
        <v>0</v>
      </c>
      <c r="P120" s="1454">
        <f>ROUND(SUM(P110+P116),1)</f>
        <v>0</v>
      </c>
      <c r="R120" s="1454">
        <f>ROUND(SUM(R110+R116),1)</f>
        <v>0</v>
      </c>
      <c r="T120" s="2042">
        <f>ROUND(SUM(T110+T116),1)</f>
        <v>0</v>
      </c>
      <c r="V120" s="1454">
        <f>ROUND(SUM(V110+V116),1)</f>
        <v>0</v>
      </c>
      <c r="X120" s="1454">
        <f>ROUND(SUM(X110+X116),1)</f>
        <v>0</v>
      </c>
      <c r="Z120" s="1454">
        <f>ROUND(SUM(Z110+Z116),1)</f>
        <v>0</v>
      </c>
      <c r="AA120" s="1454"/>
      <c r="AB120" s="2553">
        <f>ROUND(SUM(AB110+AB116),1)</f>
        <v>0</v>
      </c>
      <c r="AC120" s="2032"/>
      <c r="AD120" s="2042">
        <f>ROUND(SUM(AD110+AD116),1)</f>
        <v>2960.6</v>
      </c>
      <c r="AE120" s="2042"/>
      <c r="AF120" s="2544"/>
      <c r="AG120" s="2042">
        <f>ROUND(SUM(AG110+AG116),1)</f>
        <v>4911.8999999999996</v>
      </c>
      <c r="AH120" s="3466"/>
      <c r="AI120" s="1437"/>
      <c r="AJ120" s="2044">
        <f>ROUND(SUM(AD120-AG120),1)</f>
        <v>-1951.3</v>
      </c>
      <c r="AK120" s="2419"/>
      <c r="AL120" s="1850">
        <f>ROUND(SUM(AJ120/ABS(AG120)),3)</f>
        <v>-0.39700000000000002</v>
      </c>
    </row>
    <row r="121" spans="1:49" ht="15" customHeight="1">
      <c r="A121" s="2036"/>
      <c r="B121" s="2036"/>
      <c r="C121" s="2036"/>
      <c r="D121" s="2439"/>
      <c r="F121" s="2439"/>
      <c r="H121" s="2439"/>
      <c r="J121" s="2439"/>
      <c r="L121" s="2439"/>
      <c r="N121" s="2439"/>
      <c r="P121" s="2439"/>
      <c r="R121" s="2439"/>
      <c r="T121" s="3041"/>
      <c r="V121" s="2439"/>
      <c r="X121" s="2439"/>
      <c r="Z121" s="2439"/>
      <c r="AA121" s="2013"/>
      <c r="AC121" s="2530"/>
      <c r="AD121" s="3041"/>
      <c r="AF121" s="3439"/>
      <c r="AG121" s="3041"/>
      <c r="AH121" s="3462"/>
      <c r="AI121" s="2013"/>
      <c r="AJ121" s="1426"/>
      <c r="AL121" s="1425"/>
    </row>
    <row r="122" spans="1:49" ht="15" customHeight="1" thickBot="1">
      <c r="A122" s="2036"/>
      <c r="B122" s="2418" t="s">
        <v>1095</v>
      </c>
      <c r="C122" s="2036"/>
      <c r="D122" s="2446">
        <f>ROUND(SUM(D13+D120),1)</f>
        <v>13629.9</v>
      </c>
      <c r="F122" s="2446">
        <f>ROUND(SUM(F13+F120),1)</f>
        <v>0</v>
      </c>
      <c r="H122" s="2446">
        <f>ROUND(SUM(H13+H120),1)</f>
        <v>0</v>
      </c>
      <c r="J122" s="2446">
        <f>ROUND(SUM(J13+J120),1)</f>
        <v>0</v>
      </c>
      <c r="L122" s="2446">
        <f>ROUND(SUM(L13+L120),1)</f>
        <v>0</v>
      </c>
      <c r="N122" s="2446">
        <f>ROUND(SUM(N13+N120),1)</f>
        <v>0</v>
      </c>
      <c r="P122" s="2446">
        <f>ROUND(SUM(P13+P120),1)</f>
        <v>0</v>
      </c>
      <c r="R122" s="2446">
        <f>ROUND(SUM(R13+R120),1)</f>
        <v>0</v>
      </c>
      <c r="T122" s="2021">
        <f>ROUND(SUM(T13+T120),1)</f>
        <v>0</v>
      </c>
      <c r="V122" s="2446">
        <f>ROUND(SUM(V13+V120),1)</f>
        <v>0</v>
      </c>
      <c r="X122" s="2446">
        <f>ROUND(SUM(X13+X120),1)</f>
        <v>0</v>
      </c>
      <c r="Z122" s="2446">
        <f>ROUND(SUM(Z13+Z120),1)</f>
        <v>0</v>
      </c>
      <c r="AA122" s="2446"/>
      <c r="AB122" s="2566">
        <f>ROUND(SUM(AB13+AB120),1)</f>
        <v>0</v>
      </c>
      <c r="AC122" s="2527"/>
      <c r="AD122" s="2021">
        <f>ROUND(SUM(AD13+AD120),1)</f>
        <v>13629.9</v>
      </c>
      <c r="AE122" s="2021"/>
      <c r="AF122" s="3438"/>
      <c r="AG122" s="2503">
        <f>ROUND(SUM(AG13+AG120),1)</f>
        <v>11224</v>
      </c>
      <c r="AH122" s="3461"/>
      <c r="AI122" s="2011"/>
      <c r="AJ122" s="2507">
        <f>ROUND(SUM(AD122-AG122),1)</f>
        <v>2405.9</v>
      </c>
      <c r="AK122" s="2506"/>
      <c r="AL122" s="2508">
        <f>ROUND(SUM(+AJ122/AG122),3)</f>
        <v>0.214</v>
      </c>
      <c r="AM122" s="2016"/>
      <c r="AN122" s="2016"/>
      <c r="AO122" s="2016"/>
      <c r="AP122" s="2016"/>
      <c r="AQ122" s="2016"/>
      <c r="AR122" s="2016"/>
      <c r="AS122" s="2016"/>
      <c r="AT122" s="2016"/>
      <c r="AU122" s="2016"/>
      <c r="AV122" s="2016"/>
      <c r="AW122" s="2016"/>
    </row>
    <row r="123" spans="1:49" ht="15" customHeight="1" thickTop="1">
      <c r="A123" s="2036"/>
      <c r="B123" s="2036"/>
      <c r="C123" s="2036"/>
      <c r="D123" s="2567"/>
      <c r="F123" s="2567"/>
      <c r="H123" s="2567"/>
      <c r="J123" s="2567"/>
      <c r="L123" s="2567"/>
      <c r="N123" s="2567"/>
      <c r="P123" s="2567"/>
      <c r="R123" s="2567"/>
      <c r="T123" s="3042"/>
      <c r="V123" s="2567"/>
      <c r="X123" s="2567"/>
      <c r="Z123" s="2567"/>
      <c r="AA123" s="2568"/>
      <c r="AB123" s="2016"/>
      <c r="AC123" s="2016"/>
      <c r="AD123" s="3042"/>
      <c r="AE123" s="2183"/>
      <c r="AF123" s="2183"/>
      <c r="AG123" s="3043"/>
      <c r="AH123" s="3043"/>
      <c r="AI123" s="2016"/>
      <c r="AJ123" s="2569"/>
      <c r="AK123" s="2016"/>
      <c r="AL123" s="1425"/>
      <c r="AM123" s="2016"/>
      <c r="AN123" s="2016"/>
      <c r="AO123" s="2016"/>
      <c r="AP123" s="2016"/>
      <c r="AQ123" s="2016"/>
      <c r="AR123" s="2016"/>
      <c r="AS123" s="2016"/>
      <c r="AT123" s="2016"/>
      <c r="AU123" s="2016"/>
      <c r="AV123" s="2016"/>
      <c r="AW123" s="2016"/>
    </row>
    <row r="124" spans="1:49" ht="15" customHeight="1">
      <c r="A124" s="2036"/>
      <c r="B124" s="2036"/>
      <c r="C124" s="2036"/>
      <c r="D124" s="2568"/>
      <c r="F124" s="2568"/>
      <c r="H124" s="2568"/>
      <c r="J124" s="2568"/>
      <c r="L124" s="2568"/>
      <c r="N124" s="2568"/>
      <c r="P124" s="2568"/>
      <c r="R124" s="2568"/>
      <c r="T124" s="3043"/>
      <c r="V124" s="2568"/>
      <c r="X124" s="2568"/>
      <c r="Z124" s="2568"/>
      <c r="AA124" s="2568"/>
      <c r="AB124" s="3754" t="s">
        <v>14</v>
      </c>
      <c r="AC124" s="2568"/>
      <c r="AD124" s="3043"/>
      <c r="AE124" s="3043"/>
      <c r="AF124" s="3043"/>
      <c r="AG124" s="3043"/>
      <c r="AH124" s="3043"/>
      <c r="AI124" s="2016"/>
      <c r="AJ124" s="2569"/>
      <c r="AK124" s="2016"/>
      <c r="AL124" s="1425"/>
      <c r="AM124" s="2016"/>
      <c r="AN124" s="2016"/>
      <c r="AO124" s="2016"/>
      <c r="AP124" s="2016"/>
      <c r="AQ124" s="2016"/>
      <c r="AR124" s="2016"/>
      <c r="AS124" s="2016"/>
      <c r="AT124" s="2016"/>
      <c r="AU124" s="2016"/>
      <c r="AV124" s="2016"/>
      <c r="AW124" s="2016"/>
    </row>
    <row r="125" spans="1:49" ht="15" customHeight="1">
      <c r="A125" s="2517"/>
      <c r="B125" s="1426" t="s">
        <v>1181</v>
      </c>
      <c r="D125" s="2016"/>
      <c r="F125" s="2016"/>
      <c r="H125" s="2016"/>
      <c r="J125" s="2016"/>
      <c r="L125" s="2016"/>
      <c r="N125" s="2016"/>
      <c r="P125" s="2016"/>
      <c r="R125" s="2016"/>
      <c r="T125" s="2183"/>
      <c r="V125" s="2016"/>
      <c r="X125" s="2016"/>
      <c r="Z125" s="2016"/>
      <c r="AA125" s="2016"/>
      <c r="AB125" s="2569" t="s">
        <v>14</v>
      </c>
      <c r="AC125" s="2016"/>
      <c r="AD125" s="2183"/>
      <c r="AE125" s="2183"/>
      <c r="AF125" s="2183"/>
      <c r="AG125" s="2183"/>
      <c r="AH125" s="2183"/>
      <c r="AI125" s="2016"/>
      <c r="AJ125" s="2569"/>
      <c r="AK125" s="2016"/>
      <c r="AL125" s="1425"/>
      <c r="AM125" s="2016"/>
      <c r="AN125" s="2016"/>
      <c r="AO125" s="2016"/>
      <c r="AP125" s="2016"/>
      <c r="AQ125" s="2016"/>
      <c r="AR125" s="2016"/>
      <c r="AS125" s="2016"/>
      <c r="AT125" s="2016"/>
      <c r="AU125" s="2016"/>
      <c r="AV125" s="2016"/>
      <c r="AW125" s="2016"/>
    </row>
    <row r="126" spans="1:49" ht="15" customHeight="1">
      <c r="D126" s="2016"/>
      <c r="F126" s="2016"/>
      <c r="H126" s="2016"/>
      <c r="J126" s="2016"/>
      <c r="L126" s="2016"/>
      <c r="N126" s="2016"/>
      <c r="P126" s="2016"/>
      <c r="R126" s="2016"/>
      <c r="T126" s="2183"/>
      <c r="V126" s="2016"/>
      <c r="X126" s="2016"/>
      <c r="Z126" s="2016"/>
      <c r="AA126" s="2016"/>
      <c r="AB126" s="2016"/>
      <c r="AC126" s="2016"/>
      <c r="AD126" s="2183"/>
      <c r="AE126" s="2183"/>
      <c r="AF126" s="2183"/>
      <c r="AG126" s="2183"/>
      <c r="AH126" s="2183"/>
      <c r="AI126" s="2016"/>
      <c r="AJ126" s="2569"/>
      <c r="AK126" s="2016"/>
      <c r="AL126" s="1425"/>
      <c r="AM126" s="2016"/>
      <c r="AN126" s="2016"/>
      <c r="AO126" s="2016"/>
      <c r="AP126" s="2016"/>
      <c r="AQ126" s="2016"/>
      <c r="AR126" s="2016"/>
      <c r="AS126" s="2016"/>
      <c r="AT126" s="2016"/>
      <c r="AU126" s="2016"/>
      <c r="AV126" s="2016"/>
      <c r="AW126" s="2016"/>
    </row>
    <row r="127" spans="1:49" ht="15" customHeight="1">
      <c r="AJ127" s="1426"/>
      <c r="AL127" s="1425"/>
    </row>
    <row r="128" spans="1:49" ht="15" customHeight="1">
      <c r="AJ128" s="1426"/>
      <c r="AL128" s="1425"/>
    </row>
    <row r="129" spans="36:38" ht="15" customHeight="1">
      <c r="AJ129" s="1426"/>
      <c r="AL129" s="1425"/>
    </row>
    <row r="130" spans="36:38" ht="15" customHeight="1">
      <c r="AJ130" s="1426"/>
      <c r="AL130" s="1425"/>
    </row>
    <row r="131" spans="36:38" ht="15" customHeight="1">
      <c r="AJ131" s="1426"/>
      <c r="AL131" s="1425"/>
    </row>
    <row r="132" spans="36:38" ht="15" customHeight="1">
      <c r="AJ132" s="1426"/>
      <c r="AL132" s="1425"/>
    </row>
    <row r="133" spans="36:38" ht="15" customHeight="1">
      <c r="AJ133" s="1426"/>
      <c r="AL133" s="1425"/>
    </row>
    <row r="134" spans="36:38" ht="15" customHeight="1">
      <c r="AJ134" s="1426"/>
      <c r="AL134" s="1425"/>
    </row>
    <row r="135" spans="36:38" ht="15" customHeight="1">
      <c r="AJ135" s="1426"/>
      <c r="AL135" s="1425"/>
    </row>
    <row r="136" spans="36:38" ht="15" customHeight="1">
      <c r="AJ136" s="1426"/>
      <c r="AL136" s="1425"/>
    </row>
    <row r="137" spans="36:38" ht="15" customHeight="1">
      <c r="AJ137" s="1426"/>
      <c r="AL137" s="1425"/>
    </row>
    <row r="138" spans="36:38" ht="15" customHeight="1">
      <c r="AJ138" s="1426"/>
      <c r="AL138" s="1425"/>
    </row>
    <row r="139" spans="36:38" ht="15" customHeight="1">
      <c r="AJ139" s="1426"/>
      <c r="AL139" s="1425"/>
    </row>
    <row r="140" spans="36:38" ht="15" customHeight="1">
      <c r="AJ140" s="1426"/>
      <c r="AL140" s="1425"/>
    </row>
    <row r="141" spans="36:38" ht="15" customHeight="1">
      <c r="AJ141" s="1426"/>
      <c r="AL141" s="1425"/>
    </row>
    <row r="142" spans="36:38" ht="15" customHeight="1">
      <c r="AJ142" s="1426"/>
      <c r="AL142" s="1425"/>
    </row>
    <row r="143" spans="36:38" ht="15" customHeight="1">
      <c r="AJ143" s="1426"/>
      <c r="AL143" s="1425"/>
    </row>
    <row r="144" spans="36:38" ht="15" customHeight="1">
      <c r="AJ144" s="1426"/>
      <c r="AL144" s="1425"/>
    </row>
    <row r="145" spans="36:38" ht="15" customHeight="1">
      <c r="AJ145" s="1426"/>
      <c r="AL145" s="1425"/>
    </row>
    <row r="146" spans="36:38" ht="15" customHeight="1">
      <c r="AJ146" s="1426"/>
      <c r="AL146" s="1425"/>
    </row>
    <row r="147" spans="36:38" ht="15" customHeight="1">
      <c r="AJ147" s="1426"/>
      <c r="AL147" s="1425"/>
    </row>
    <row r="148" spans="36:38" ht="15" customHeight="1">
      <c r="AJ148" s="1426"/>
      <c r="AL148" s="1425"/>
    </row>
    <row r="149" spans="36:38" ht="15" customHeight="1">
      <c r="AJ149" s="1426"/>
      <c r="AL149" s="1425"/>
    </row>
    <row r="150" spans="36:38" ht="15" customHeight="1">
      <c r="AJ150" s="1426"/>
      <c r="AL150" s="1425"/>
    </row>
    <row r="151" spans="36:38" ht="15" customHeight="1">
      <c r="AJ151" s="1426"/>
      <c r="AL151" s="1425"/>
    </row>
    <row r="152" spans="36:38" ht="15" customHeight="1">
      <c r="AJ152" s="1426"/>
      <c r="AL152" s="1425"/>
    </row>
    <row r="153" spans="36:38" ht="15" customHeight="1">
      <c r="AJ153" s="1426"/>
      <c r="AL153" s="1425"/>
    </row>
    <row r="154" spans="36:38" ht="15" customHeight="1">
      <c r="AJ154" s="1426"/>
      <c r="AL154" s="1425"/>
    </row>
    <row r="155" spans="36:38" ht="15" customHeight="1">
      <c r="AJ155" s="1426"/>
      <c r="AL155" s="1425"/>
    </row>
    <row r="156" spans="36:38" ht="15" customHeight="1">
      <c r="AJ156" s="1426"/>
      <c r="AL156" s="1425"/>
    </row>
    <row r="157" spans="36:38" ht="15" customHeight="1">
      <c r="AJ157" s="1426"/>
      <c r="AL157" s="1425"/>
    </row>
    <row r="158" spans="36:38" ht="15" customHeight="1">
      <c r="AJ158" s="1426"/>
      <c r="AL158" s="1425"/>
    </row>
    <row r="159" spans="36:38" ht="15" customHeight="1">
      <c r="AJ159" s="1426"/>
      <c r="AL159" s="1425"/>
    </row>
    <row r="160" spans="36:38" ht="15" customHeight="1">
      <c r="AJ160" s="1426"/>
      <c r="AL160" s="1425"/>
    </row>
    <row r="161" spans="36:38" ht="15" customHeight="1">
      <c r="AJ161" s="1426"/>
      <c r="AL161" s="1425"/>
    </row>
    <row r="162" spans="36:38" ht="15" customHeight="1">
      <c r="AJ162" s="1426"/>
      <c r="AL162" s="1425"/>
    </row>
    <row r="163" spans="36:38" ht="15" customHeight="1">
      <c r="AJ163" s="1426"/>
      <c r="AL163" s="1425"/>
    </row>
    <row r="164" spans="36:38" ht="15" customHeight="1">
      <c r="AJ164" s="1426"/>
      <c r="AL164" s="1425"/>
    </row>
    <row r="165" spans="36:38" ht="15" customHeight="1">
      <c r="AJ165" s="1426"/>
      <c r="AL165" s="1425"/>
    </row>
    <row r="166" spans="36:38" ht="15" customHeight="1">
      <c r="AJ166" s="1426"/>
      <c r="AL166" s="1425"/>
    </row>
    <row r="167" spans="36:38" ht="15" customHeight="1">
      <c r="AJ167" s="1426"/>
      <c r="AL167" s="1425"/>
    </row>
    <row r="168" spans="36:38" ht="15" customHeight="1">
      <c r="AJ168" s="1426"/>
      <c r="AL168" s="1425"/>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4:AL65 AL28:AL32 AL115 AL61 AL90:AL95 AL34:AL47 AL52:AL55 AL66:AL67 AL57 AL59" unlockedFormula="1"/>
    <ignoredError sqref="AL73:AL75 AL71 AL22" formula="1" unlockedFormula="1"/>
    <ignoredError sqref="AJ23:AL23 AL51 AL69 AL89 AL5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90" workbookViewId="0"/>
  </sheetViews>
  <sheetFormatPr defaultColWidth="8.765625" defaultRowHeight="10"/>
  <cols>
    <col min="1" max="1" width="35.07421875" style="2226" customWidth="1"/>
    <col min="2" max="2" width="9.07421875" style="2226" customWidth="1"/>
    <col min="3" max="3" width="5.53515625" style="2226" customWidth="1"/>
    <col min="4" max="4" width="12.765625" style="2227" bestFit="1" customWidth="1"/>
    <col min="5" max="5" width="1.765625" style="2226" customWidth="1"/>
    <col min="6" max="6" width="13.4609375" style="2226" customWidth="1"/>
    <col min="7" max="7" width="2.07421875" style="2226" customWidth="1"/>
    <col min="8" max="8" width="12.765625" style="2227" bestFit="1" customWidth="1"/>
    <col min="9" max="9" width="1.765625" style="2226" customWidth="1"/>
    <col min="10" max="10" width="13.765625" style="2226" customWidth="1"/>
    <col min="11" max="11" width="1.765625" style="2226" customWidth="1"/>
    <col min="12" max="12" width="11.765625" style="2227" customWidth="1"/>
    <col min="13" max="13" width="2" style="2226" customWidth="1"/>
    <col min="14" max="14" width="13.765625" style="2226" customWidth="1"/>
    <col min="15" max="15" width="1.765625" style="2226" customWidth="1"/>
    <col min="16" max="16" width="13" style="2226" customWidth="1"/>
    <col min="17" max="17" width="1.765625" style="2226" customWidth="1"/>
    <col min="18" max="18" width="13.07421875" style="2226" customWidth="1"/>
    <col min="19" max="21" width="1.07421875" style="2226" customWidth="1"/>
    <col min="22" max="22" width="12.765625" style="2227" bestFit="1" customWidth="1"/>
    <col min="23" max="23" width="1.765625" style="2226" customWidth="1"/>
    <col min="24" max="24" width="13.765625" style="2226" customWidth="1"/>
    <col min="25" max="27" width="1.07421875" style="2226" customWidth="1"/>
    <col min="28" max="28" width="12.07421875" style="3413" customWidth="1"/>
    <col min="29" max="29" width="1.765625" style="2228" customWidth="1"/>
    <col min="30" max="30" width="13.765625" style="2228" customWidth="1"/>
    <col min="31" max="31" width="1" style="2228" customWidth="1"/>
    <col min="32" max="32" width="1" style="2226" customWidth="1"/>
    <col min="33" max="33" width="13.07421875" style="2226" bestFit="1" customWidth="1"/>
    <col min="34" max="34" width="1.765625" style="2226" customWidth="1"/>
    <col min="35" max="35" width="12.765625" style="2229" customWidth="1"/>
    <col min="36" max="36" width="19.07421875" style="2226" customWidth="1"/>
    <col min="37" max="16384" width="8.765625" style="2226"/>
  </cols>
  <sheetData>
    <row r="1" spans="1:38" ht="15.5">
      <c r="A1" s="2225" t="s">
        <v>885</v>
      </c>
    </row>
    <row r="2" spans="1:38" ht="15.5">
      <c r="A2" s="2225"/>
    </row>
    <row r="3" spans="1:38" ht="20">
      <c r="A3" s="2230" t="s">
        <v>0</v>
      </c>
      <c r="B3" s="2231"/>
      <c r="C3" s="2231"/>
      <c r="D3" s="2231"/>
      <c r="E3" s="2231"/>
      <c r="F3" s="2231"/>
      <c r="G3" s="2231"/>
      <c r="H3" s="2231"/>
      <c r="I3" s="2231"/>
      <c r="J3" s="2231"/>
      <c r="K3" s="2231"/>
      <c r="L3" s="2231"/>
      <c r="M3" s="2231"/>
      <c r="N3" s="2231"/>
      <c r="O3" s="2231"/>
      <c r="P3" s="2231"/>
      <c r="Q3" s="2231"/>
      <c r="R3" s="2231"/>
      <c r="S3" s="2231"/>
      <c r="T3" s="2231"/>
      <c r="U3" s="2231"/>
      <c r="V3" s="2231"/>
      <c r="W3" s="2231"/>
      <c r="X3" s="2231"/>
      <c r="Y3" s="2231"/>
      <c r="Z3" s="2231"/>
      <c r="AA3" s="2231"/>
      <c r="AB3" s="3372"/>
      <c r="AC3" s="3372"/>
      <c r="AD3" s="3372"/>
      <c r="AE3" s="2231"/>
      <c r="AF3" s="2231"/>
      <c r="AG3" s="2231"/>
      <c r="AH3" s="2231"/>
      <c r="AI3" s="2232" t="s">
        <v>1528</v>
      </c>
      <c r="AJ3" s="2233"/>
    </row>
    <row r="4" spans="1:38" ht="20.25" customHeight="1">
      <c r="A4" s="3907" t="s">
        <v>1</v>
      </c>
      <c r="B4" s="3908"/>
      <c r="C4" s="3908"/>
      <c r="D4" s="3908"/>
      <c r="E4" s="3908"/>
      <c r="F4" s="3908"/>
      <c r="G4" s="3908"/>
      <c r="H4" s="3908"/>
      <c r="I4" s="3908"/>
      <c r="J4" s="3908"/>
      <c r="K4" s="3908"/>
      <c r="L4" s="3908"/>
      <c r="M4" s="3908"/>
      <c r="N4" s="3908"/>
      <c r="O4" s="3908"/>
      <c r="P4" s="3908"/>
      <c r="Q4" s="3908"/>
      <c r="R4" s="3908"/>
      <c r="S4" s="3908"/>
      <c r="T4" s="3908"/>
      <c r="U4" s="3908"/>
      <c r="V4" s="3908"/>
      <c r="W4" s="3908"/>
      <c r="X4" s="3908"/>
      <c r="Y4" s="3908"/>
      <c r="Z4" s="3908"/>
      <c r="AA4" s="3908"/>
      <c r="AB4" s="3908"/>
      <c r="AC4" s="3908"/>
      <c r="AD4" s="3908"/>
      <c r="AE4" s="3908"/>
      <c r="AF4" s="3908"/>
      <c r="AG4" s="3908"/>
      <c r="AH4" s="3908"/>
      <c r="AI4" s="3908"/>
      <c r="AJ4" s="2233"/>
    </row>
    <row r="5" spans="1:38" ht="20">
      <c r="A5" s="3907" t="s">
        <v>797</v>
      </c>
      <c r="B5" s="3909"/>
      <c r="C5" s="3909"/>
      <c r="D5" s="3909"/>
      <c r="E5" s="3909"/>
      <c r="F5" s="3909"/>
      <c r="G5" s="3909"/>
      <c r="H5" s="3909"/>
      <c r="I5" s="3909"/>
      <c r="J5" s="3909"/>
      <c r="K5" s="3909"/>
      <c r="L5" s="3909"/>
      <c r="M5" s="3909"/>
      <c r="N5" s="3909"/>
      <c r="O5" s="3909"/>
      <c r="P5" s="3909"/>
      <c r="Q5" s="3909"/>
      <c r="R5" s="3909"/>
      <c r="S5" s="3909"/>
      <c r="T5" s="3909"/>
      <c r="U5" s="3909"/>
      <c r="V5" s="3909"/>
      <c r="W5" s="3909"/>
      <c r="X5" s="3909"/>
      <c r="Y5" s="3909"/>
      <c r="Z5" s="3909"/>
      <c r="AA5" s="3909"/>
      <c r="AB5" s="3909"/>
      <c r="AC5" s="3909"/>
      <c r="AD5" s="3909"/>
      <c r="AE5" s="3908"/>
      <c r="AF5" s="3908"/>
      <c r="AG5" s="3908"/>
      <c r="AH5" s="3908"/>
      <c r="AI5" s="3908"/>
      <c r="AJ5" s="2233"/>
    </row>
    <row r="6" spans="1:38" ht="21" customHeight="1">
      <c r="A6" s="3907" t="s">
        <v>1280</v>
      </c>
      <c r="B6" s="3908"/>
      <c r="C6" s="3908"/>
      <c r="D6" s="3908"/>
      <c r="E6" s="3908"/>
      <c r="F6" s="3908"/>
      <c r="G6" s="3908"/>
      <c r="H6" s="3908"/>
      <c r="I6" s="3908"/>
      <c r="J6" s="3908"/>
      <c r="K6" s="3908"/>
      <c r="L6" s="3908"/>
      <c r="M6" s="3908"/>
      <c r="N6" s="3908"/>
      <c r="O6" s="3908"/>
      <c r="P6" s="3908"/>
      <c r="Q6" s="3908"/>
      <c r="R6" s="3908"/>
      <c r="S6" s="3908"/>
      <c r="T6" s="3908"/>
      <c r="U6" s="3908"/>
      <c r="V6" s="3908"/>
      <c r="W6" s="3908"/>
      <c r="X6" s="3908"/>
      <c r="Y6" s="3908"/>
      <c r="Z6" s="3908"/>
      <c r="AA6" s="3908"/>
      <c r="AB6" s="3908"/>
      <c r="AC6" s="3908"/>
      <c r="AD6" s="3908"/>
      <c r="AE6" s="3908"/>
      <c r="AF6" s="3908"/>
      <c r="AG6" s="3908"/>
      <c r="AH6" s="3908"/>
      <c r="AI6" s="3908"/>
      <c r="AJ6" s="2233"/>
    </row>
    <row r="7" spans="1:38" ht="15.5">
      <c r="A7" s="1"/>
      <c r="B7" s="1"/>
      <c r="C7" s="1"/>
      <c r="D7" s="2234"/>
      <c r="E7" s="1"/>
      <c r="F7" s="1"/>
      <c r="G7" s="1"/>
      <c r="H7" s="2235"/>
      <c r="I7" s="2"/>
      <c r="J7" s="2"/>
      <c r="K7" s="2"/>
      <c r="L7" s="2235"/>
      <c r="M7" s="1"/>
      <c r="N7" s="2"/>
      <c r="O7" s="2"/>
      <c r="P7" s="2"/>
      <c r="Q7" s="2"/>
      <c r="R7" s="2"/>
      <c r="S7" s="1"/>
      <c r="T7" s="1"/>
      <c r="U7" s="1"/>
      <c r="V7" s="2234"/>
      <c r="W7" s="1"/>
      <c r="X7" s="1"/>
      <c r="Y7" s="1"/>
      <c r="Z7" s="1"/>
      <c r="AA7" s="1"/>
      <c r="AB7" s="3414"/>
      <c r="AC7" s="2241"/>
      <c r="AD7" s="2236"/>
      <c r="AE7" s="2236"/>
      <c r="AF7" s="2237"/>
      <c r="AG7" s="2237"/>
      <c r="AJ7" s="2233"/>
      <c r="AK7" s="2233"/>
      <c r="AL7" s="2233"/>
    </row>
    <row r="8" spans="1:38" ht="16.399999999999999" customHeight="1">
      <c r="A8" s="2"/>
      <c r="B8" s="1"/>
      <c r="C8" s="1"/>
      <c r="D8" s="2235"/>
      <c r="E8" s="1"/>
      <c r="F8" s="1"/>
      <c r="G8" s="1"/>
      <c r="H8" s="2235"/>
      <c r="I8" s="2"/>
      <c r="J8" s="2"/>
      <c r="K8" s="2"/>
      <c r="L8" s="2235"/>
      <c r="M8" s="1"/>
      <c r="N8" s="2"/>
      <c r="O8" s="2"/>
      <c r="P8" s="2"/>
      <c r="Q8" s="2"/>
      <c r="R8" s="2"/>
      <c r="S8" s="1"/>
      <c r="T8" s="1"/>
      <c r="U8" s="1"/>
      <c r="V8" s="2234"/>
      <c r="W8" s="1"/>
      <c r="X8" s="1"/>
      <c r="Y8" s="1"/>
      <c r="Z8" s="1"/>
      <c r="AA8" s="1"/>
      <c r="AB8" s="3414"/>
      <c r="AC8" s="2241"/>
      <c r="AD8" s="2238"/>
      <c r="AE8" s="2238"/>
      <c r="AF8" s="2239"/>
      <c r="AG8" s="2239"/>
      <c r="AI8" s="2233"/>
      <c r="AJ8" s="2233"/>
      <c r="AK8" s="2233"/>
      <c r="AL8" s="2233"/>
    </row>
    <row r="9" spans="1:38" ht="16.399999999999999" customHeight="1">
      <c r="A9" s="1"/>
      <c r="B9" s="1"/>
      <c r="C9" s="1"/>
      <c r="D9" s="1"/>
      <c r="E9" s="1"/>
      <c r="F9" s="1"/>
      <c r="G9" s="1"/>
      <c r="H9" s="2"/>
      <c r="I9" s="2"/>
      <c r="J9" s="2"/>
      <c r="K9" s="2"/>
      <c r="L9" s="2"/>
      <c r="M9" s="1"/>
      <c r="N9" s="2"/>
      <c r="O9" s="2"/>
      <c r="P9" s="2"/>
      <c r="Q9" s="2"/>
      <c r="R9" s="2"/>
      <c r="S9" s="1"/>
      <c r="T9" s="1"/>
      <c r="U9" s="2240"/>
      <c r="V9" s="1"/>
      <c r="W9" s="1"/>
      <c r="X9" s="1"/>
      <c r="Y9" s="1"/>
      <c r="Z9" s="1"/>
      <c r="AA9" s="1"/>
      <c r="AB9" s="2241"/>
      <c r="AC9" s="2241"/>
      <c r="AD9" s="2242"/>
      <c r="AE9" s="2242"/>
      <c r="AF9" s="2243"/>
      <c r="AG9" s="2243"/>
      <c r="AI9" s="2225"/>
      <c r="AJ9" s="2233"/>
      <c r="AK9" s="2233"/>
      <c r="AL9" s="2233"/>
    </row>
    <row r="10" spans="1:38" ht="16.399999999999999" customHeight="1">
      <c r="A10" s="2244"/>
      <c r="B10" s="2244"/>
      <c r="C10" s="2244"/>
      <c r="D10" s="3" t="s">
        <v>2</v>
      </c>
      <c r="E10" s="3"/>
      <c r="F10" s="3"/>
      <c r="G10" s="2243"/>
      <c r="H10" s="3" t="s">
        <v>3</v>
      </c>
      <c r="I10" s="3"/>
      <c r="J10" s="3"/>
      <c r="K10" s="2243"/>
      <c r="L10" s="3" t="s">
        <v>4</v>
      </c>
      <c r="M10" s="3"/>
      <c r="N10" s="3"/>
      <c r="O10" s="2243"/>
      <c r="P10" s="3" t="s">
        <v>5</v>
      </c>
      <c r="Q10" s="3"/>
      <c r="R10" s="3"/>
      <c r="S10" s="2243"/>
      <c r="T10" s="2245"/>
      <c r="U10" s="2245"/>
      <c r="V10" s="3910" t="s">
        <v>1399</v>
      </c>
      <c r="W10" s="3911"/>
      <c r="X10" s="3911"/>
      <c r="Y10" s="3911"/>
      <c r="Z10" s="3911"/>
      <c r="AA10" s="3911"/>
      <c r="AB10" s="3911"/>
      <c r="AC10" s="3911"/>
      <c r="AD10" s="3911"/>
      <c r="AE10" s="3911"/>
      <c r="AF10" s="3911"/>
      <c r="AG10" s="3911"/>
      <c r="AH10" s="3911"/>
      <c r="AI10" s="3911"/>
      <c r="AJ10" s="1422"/>
      <c r="AK10" s="2233"/>
      <c r="AL10" s="2233"/>
    </row>
    <row r="11" spans="1:38" ht="16.399999999999999" customHeight="1">
      <c r="A11" s="2244"/>
      <c r="B11" s="2244"/>
      <c r="C11" s="2244"/>
      <c r="D11" s="5" t="s">
        <v>6</v>
      </c>
      <c r="E11" s="5"/>
      <c r="F11" s="4" t="s">
        <v>1413</v>
      </c>
      <c r="G11" s="2239"/>
      <c r="H11" s="5" t="s">
        <v>6</v>
      </c>
      <c r="I11" s="5"/>
      <c r="J11" s="5" t="str">
        <f>F11</f>
        <v>1 MO. ENDED</v>
      </c>
      <c r="K11" s="2239"/>
      <c r="L11" s="5" t="s">
        <v>6</v>
      </c>
      <c r="M11" s="5"/>
      <c r="N11" s="5" t="str">
        <f>F11</f>
        <v>1 MO. ENDED</v>
      </c>
      <c r="O11" s="2239"/>
      <c r="P11" s="5" t="s">
        <v>6</v>
      </c>
      <c r="Q11" s="5"/>
      <c r="R11" s="5" t="str">
        <f>J11</f>
        <v>1 MO. ENDED</v>
      </c>
      <c r="S11" s="2239"/>
      <c r="T11" s="2239"/>
      <c r="U11" s="2246"/>
      <c r="V11" s="5" t="s">
        <v>6</v>
      </c>
      <c r="W11" s="5"/>
      <c r="X11" s="5" t="str">
        <f>F11</f>
        <v>1 MO. ENDED</v>
      </c>
      <c r="Y11" s="5"/>
      <c r="Z11" s="5"/>
      <c r="AA11" s="5"/>
      <c r="AB11" s="3891" t="s">
        <v>6</v>
      </c>
      <c r="AC11" s="3891"/>
      <c r="AD11" s="3891" t="str">
        <f>F11</f>
        <v>1 MO. ENDED</v>
      </c>
      <c r="AE11" s="2247"/>
      <c r="AF11" s="5"/>
      <c r="AG11" s="5" t="s">
        <v>7</v>
      </c>
      <c r="AH11" s="2248"/>
      <c r="AI11" s="5" t="s">
        <v>8</v>
      </c>
      <c r="AJ11" s="2233"/>
      <c r="AK11" s="2233"/>
      <c r="AL11" s="2233"/>
    </row>
    <row r="12" spans="1:38" ht="16.399999999999999" customHeight="1">
      <c r="A12" s="2244"/>
      <c r="B12" s="2244"/>
      <c r="C12" s="2244"/>
      <c r="D12" s="898" t="s">
        <v>1411</v>
      </c>
      <c r="E12" s="2239"/>
      <c r="F12" s="898" t="s">
        <v>1412</v>
      </c>
      <c r="G12" s="2239"/>
      <c r="H12" s="6" t="str">
        <f>D12</f>
        <v>APR. 2021</v>
      </c>
      <c r="I12" s="2239"/>
      <c r="J12" s="6" t="str">
        <f>F12</f>
        <v>APR. 30, 2021</v>
      </c>
      <c r="K12" s="2239"/>
      <c r="L12" s="6" t="str">
        <f>D12</f>
        <v>APR. 2021</v>
      </c>
      <c r="M12" s="2239"/>
      <c r="N12" s="6" t="str">
        <f>F12</f>
        <v>APR. 30, 2021</v>
      </c>
      <c r="O12" s="2239"/>
      <c r="P12" s="6" t="str">
        <f>D12</f>
        <v>APR. 2021</v>
      </c>
      <c r="Q12" s="2239"/>
      <c r="R12" s="6" t="str">
        <f>J12</f>
        <v>APR. 30, 2021</v>
      </c>
      <c r="S12" s="2239"/>
      <c r="T12" s="2239"/>
      <c r="U12" s="2249"/>
      <c r="V12" s="6" t="str">
        <f>D12</f>
        <v>APR. 2021</v>
      </c>
      <c r="W12" s="2239"/>
      <c r="X12" s="6" t="str">
        <f>F12</f>
        <v>APR. 30, 2021</v>
      </c>
      <c r="Y12" s="2239"/>
      <c r="Z12" s="2239"/>
      <c r="AA12" s="2239"/>
      <c r="AB12" s="3411" t="s">
        <v>1414</v>
      </c>
      <c r="AC12" s="2351"/>
      <c r="AD12" s="3411" t="s">
        <v>1415</v>
      </c>
      <c r="AE12" s="4"/>
      <c r="AF12" s="4"/>
      <c r="AG12" s="6" t="s">
        <v>11</v>
      </c>
      <c r="AH12" s="2225"/>
      <c r="AI12" s="898" t="s">
        <v>12</v>
      </c>
      <c r="AJ12" s="1422"/>
      <c r="AK12" s="2233"/>
      <c r="AL12" s="2233"/>
    </row>
    <row r="13" spans="1:38" ht="16.399999999999999" customHeight="1">
      <c r="A13" s="2243" t="s">
        <v>13</v>
      </c>
      <c r="B13" s="2244"/>
      <c r="C13" s="2244"/>
      <c r="D13" s="2250" t="s">
        <v>14</v>
      </c>
      <c r="E13" s="2244"/>
      <c r="F13" s="7"/>
      <c r="G13" s="2244"/>
      <c r="H13" s="2250" t="s">
        <v>14</v>
      </c>
      <c r="I13" s="2244"/>
      <c r="J13" s="7"/>
      <c r="K13" s="2244"/>
      <c r="L13" s="2250" t="s">
        <v>14</v>
      </c>
      <c r="M13" s="2244"/>
      <c r="N13" s="7"/>
      <c r="O13" s="2244"/>
      <c r="P13" s="610" t="s">
        <v>14</v>
      </c>
      <c r="Q13" s="2251"/>
      <c r="R13" s="610"/>
      <c r="S13" s="2252"/>
      <c r="T13" s="2252"/>
      <c r="U13" s="7"/>
      <c r="V13" s="2250"/>
      <c r="W13" s="2244"/>
      <c r="X13" s="7"/>
      <c r="Y13" s="2252"/>
      <c r="Z13" s="2253"/>
      <c r="AA13" s="7"/>
      <c r="AB13" s="3415"/>
      <c r="AC13" s="2293"/>
      <c r="AD13" s="2254"/>
      <c r="AE13" s="2254"/>
      <c r="AF13" s="2255"/>
      <c r="AG13" s="7"/>
      <c r="AI13" s="1422"/>
      <c r="AJ13" s="1422"/>
      <c r="AK13" s="2233"/>
      <c r="AL13" s="2233"/>
    </row>
    <row r="14" spans="1:38" ht="18" customHeight="1">
      <c r="A14" s="2244" t="s">
        <v>1523</v>
      </c>
      <c r="B14" s="2256"/>
      <c r="C14" s="2244"/>
      <c r="D14" s="1356">
        <f>+'Exhibit F'!D26</f>
        <v>3262.9</v>
      </c>
      <c r="E14" s="2257" t="s">
        <v>14</v>
      </c>
      <c r="F14" s="652">
        <f>+'Exhibit F'!AC26</f>
        <v>3262.9</v>
      </c>
      <c r="G14" s="2257"/>
      <c r="H14" s="1356">
        <f>'Exhibit G'!D17</f>
        <v>0</v>
      </c>
      <c r="I14" s="2258"/>
      <c r="J14" s="652">
        <f>'Exhibit G'!AD17</f>
        <v>0</v>
      </c>
      <c r="K14" s="2257"/>
      <c r="L14" s="1415">
        <f>+'Exhibit H'!B16</f>
        <v>3262.9</v>
      </c>
      <c r="M14" s="652"/>
      <c r="N14" s="652">
        <f>+'Exhibit H'!AA16</f>
        <v>3262.9</v>
      </c>
      <c r="O14" s="652"/>
      <c r="P14" s="668">
        <v>0</v>
      </c>
      <c r="Q14" s="1356"/>
      <c r="R14" s="668">
        <v>0</v>
      </c>
      <c r="S14" s="2259"/>
      <c r="T14" s="2259"/>
      <c r="U14" s="2260"/>
      <c r="V14" s="1356">
        <f t="shared" ref="V14:V19" si="0">ROUND(SUM(D14)+SUM(H14)+SUM(L14)+SUM(P14),1)</f>
        <v>6525.8</v>
      </c>
      <c r="W14" s="652" t="s">
        <v>14</v>
      </c>
      <c r="X14" s="2363">
        <f>ROUND(SUM(F14)+SUM(J14)+SUM(N14)+SUM(R14),1)</f>
        <v>6525.8</v>
      </c>
      <c r="Y14" s="2261"/>
      <c r="Z14" s="2262"/>
      <c r="AA14" s="2263"/>
      <c r="AB14" s="3416">
        <v>2066.1999999999998</v>
      </c>
      <c r="AC14" s="3373"/>
      <c r="AD14" s="1799">
        <f>'Exhibit F'!AF26+'Exhibit G'!AG17+'Exhibit H'!AD16</f>
        <v>2066.1999999999998</v>
      </c>
      <c r="AE14" s="1799"/>
      <c r="AF14" s="2264"/>
      <c r="AG14" s="2257">
        <f t="shared" ref="AG14:AG19" si="1">ROUND(SUM(X14-AD14),1)</f>
        <v>4459.6000000000004</v>
      </c>
      <c r="AH14" s="2265"/>
      <c r="AI14" s="1419">
        <f t="shared" ref="AI14:AI19" si="2">ROUND(SUM((+X14-AD14)/ABS(AD14)),3)</f>
        <v>2.1579999999999999</v>
      </c>
      <c r="AJ14" s="2266"/>
      <c r="AK14" s="2233"/>
      <c r="AL14" s="2233"/>
    </row>
    <row r="15" spans="1:38" ht="18" customHeight="1">
      <c r="A15" s="2244" t="s">
        <v>16</v>
      </c>
      <c r="B15" s="2256" t="s">
        <v>14</v>
      </c>
      <c r="C15" s="2244"/>
      <c r="D15" s="612">
        <f>+'Exhibit F'!D36</f>
        <v>351.1</v>
      </c>
      <c r="E15" s="9"/>
      <c r="F15" s="9">
        <f>+'Exhibit F'!AC36</f>
        <v>351.1</v>
      </c>
      <c r="G15" s="9"/>
      <c r="H15" s="612">
        <f>'Exhibit G'!D28</f>
        <v>187.7</v>
      </c>
      <c r="I15" s="9"/>
      <c r="J15" s="9">
        <f>+'Exhibit G'!AD28</f>
        <v>187.7</v>
      </c>
      <c r="K15" s="9"/>
      <c r="L15" s="1414">
        <f>'Exhibit H'!B20</f>
        <v>895.4</v>
      </c>
      <c r="M15" s="9"/>
      <c r="N15" s="9">
        <f>+'Exhibit H'!AA20</f>
        <v>895.4</v>
      </c>
      <c r="O15" s="9"/>
      <c r="P15" s="1414">
        <f>'Exhibit I'!E23</f>
        <v>43.5</v>
      </c>
      <c r="Q15" s="612"/>
      <c r="R15" s="1414">
        <f>+'Exhibit I'!AF23</f>
        <v>43.5</v>
      </c>
      <c r="S15" s="2268"/>
      <c r="T15" s="2268"/>
      <c r="U15" s="14"/>
      <c r="V15" s="612">
        <f>ROUND(SUM(D15)+SUM(H15)+SUM(L15)+SUM(P15),1)</f>
        <v>1477.7</v>
      </c>
      <c r="W15" s="9" t="s">
        <v>14</v>
      </c>
      <c r="X15" s="22">
        <f t="shared" ref="X15:X19" si="3">ROUND(SUM(F15)+SUM(J15)+SUM(N15)+SUM(R15),1)</f>
        <v>1477.7</v>
      </c>
      <c r="Y15" s="2268"/>
      <c r="Z15" s="2269"/>
      <c r="AA15" s="14"/>
      <c r="AB15" s="2033">
        <v>1045</v>
      </c>
      <c r="AC15" s="22"/>
      <c r="AD15" s="2254">
        <f>'Exhibit F'!AF36+'Exhibit G'!AG28+'Exhibit H'!AD20+'Exhibit I'!AI23</f>
        <v>1045</v>
      </c>
      <c r="AE15" s="1418"/>
      <c r="AF15" s="2270"/>
      <c r="AG15" s="9">
        <f t="shared" si="1"/>
        <v>432.7</v>
      </c>
      <c r="AI15" s="1419">
        <f t="shared" si="2"/>
        <v>0.41399999999999998</v>
      </c>
      <c r="AJ15" s="7"/>
      <c r="AK15" s="2233"/>
      <c r="AL15" s="2233"/>
    </row>
    <row r="16" spans="1:38" ht="18" customHeight="1">
      <c r="A16" s="2244" t="s">
        <v>17</v>
      </c>
      <c r="B16" s="2271"/>
      <c r="C16" s="2244"/>
      <c r="D16" s="612">
        <f>+'Exhibit F'!D43</f>
        <v>729.6</v>
      </c>
      <c r="E16" s="9"/>
      <c r="F16" s="9">
        <f>+'Exhibit F'!AC43</f>
        <v>729.6</v>
      </c>
      <c r="G16" s="9"/>
      <c r="H16" s="612">
        <f>'Exhibit G'!D35</f>
        <v>198.9</v>
      </c>
      <c r="I16" s="9"/>
      <c r="J16" s="9">
        <f>'Exhibit G'!AD35</f>
        <v>198.9</v>
      </c>
      <c r="K16" s="9"/>
      <c r="L16" s="615">
        <v>0</v>
      </c>
      <c r="M16" s="9"/>
      <c r="N16" s="10">
        <v>0</v>
      </c>
      <c r="O16" s="9"/>
      <c r="P16" s="1414">
        <f>'Exhibit I'!E28</f>
        <v>41.3</v>
      </c>
      <c r="Q16" s="612"/>
      <c r="R16" s="1414">
        <f>'Exhibit I'!AF28</f>
        <v>41.3</v>
      </c>
      <c r="S16" s="2268"/>
      <c r="T16" s="2268"/>
      <c r="U16" s="14"/>
      <c r="V16" s="612">
        <f t="shared" si="0"/>
        <v>969.8</v>
      </c>
      <c r="W16" s="9" t="s">
        <v>14</v>
      </c>
      <c r="X16" s="22">
        <f t="shared" si="3"/>
        <v>969.8</v>
      </c>
      <c r="Y16" s="2268"/>
      <c r="Z16" s="2269"/>
      <c r="AA16" s="14"/>
      <c r="AB16" s="2033">
        <v>415.9</v>
      </c>
      <c r="AC16" s="22"/>
      <c r="AD16" s="2254">
        <f>'Exhibit F'!AF43+'Exhibit G'!AG35+'Exhibit I'!AI28</f>
        <v>415.90000000000003</v>
      </c>
      <c r="AE16" s="1418"/>
      <c r="AF16" s="2270"/>
      <c r="AG16" s="9">
        <f t="shared" si="1"/>
        <v>553.9</v>
      </c>
      <c r="AI16" s="1419">
        <f t="shared" si="2"/>
        <v>1.3320000000000001</v>
      </c>
      <c r="AJ16" s="7"/>
      <c r="AK16" s="2233"/>
      <c r="AL16" s="2233"/>
    </row>
    <row r="17" spans="1:38" ht="18" customHeight="1">
      <c r="A17" s="2244" t="s">
        <v>18</v>
      </c>
      <c r="B17" s="2256" t="s">
        <v>14</v>
      </c>
      <c r="C17" s="2244"/>
      <c r="D17" s="612">
        <f>+'Exhibit F'!D51</f>
        <v>121.2</v>
      </c>
      <c r="E17" s="9"/>
      <c r="F17" s="9">
        <f>+'Exhibit F'!AC51</f>
        <v>121.2</v>
      </c>
      <c r="G17" s="9"/>
      <c r="H17" s="612">
        <v>0</v>
      </c>
      <c r="I17" s="9"/>
      <c r="J17" s="9">
        <v>0</v>
      </c>
      <c r="K17" s="9"/>
      <c r="L17" s="1414">
        <f>'Exhibit H'!B24</f>
        <v>97.5</v>
      </c>
      <c r="M17" s="9"/>
      <c r="N17" s="9">
        <f>+'Exhibit H'!AA24</f>
        <v>97.5</v>
      </c>
      <c r="O17" s="9"/>
      <c r="P17" s="1414">
        <f>'Exhibit I'!E31</f>
        <v>0</v>
      </c>
      <c r="Q17" s="612"/>
      <c r="R17" s="1414">
        <f>'Exhibit I'!AF31</f>
        <v>0</v>
      </c>
      <c r="S17" s="2268"/>
      <c r="T17" s="2268"/>
      <c r="U17" s="14"/>
      <c r="V17" s="612">
        <f t="shared" si="0"/>
        <v>218.7</v>
      </c>
      <c r="W17" s="9" t="s">
        <v>14</v>
      </c>
      <c r="X17" s="22">
        <f t="shared" si="3"/>
        <v>218.7</v>
      </c>
      <c r="Y17" s="2268"/>
      <c r="Z17" s="2269"/>
      <c r="AA17" s="14"/>
      <c r="AB17" s="2033">
        <v>130.9</v>
      </c>
      <c r="AC17" s="22"/>
      <c r="AD17" s="1418">
        <f>'Exhibit F'!AF51+'Exhibit H'!AD24+'Exhibit I'!AI31</f>
        <v>130.9</v>
      </c>
      <c r="AE17" s="1418"/>
      <c r="AF17" s="2270"/>
      <c r="AG17" s="9">
        <f t="shared" si="1"/>
        <v>87.8</v>
      </c>
      <c r="AI17" s="1419">
        <f t="shared" si="2"/>
        <v>0.67100000000000004</v>
      </c>
      <c r="AJ17" s="2254"/>
      <c r="AK17" s="2233"/>
      <c r="AL17" s="2233"/>
    </row>
    <row r="18" spans="1:38" ht="18" customHeight="1">
      <c r="A18" s="2244" t="s">
        <v>19</v>
      </c>
      <c r="B18" s="2256" t="s">
        <v>14</v>
      </c>
      <c r="C18" s="2244"/>
      <c r="D18" s="612">
        <f>+'Exhibit F'!D92</f>
        <v>172.5</v>
      </c>
      <c r="E18" s="9"/>
      <c r="F18" s="9">
        <f>+'Exhibit F'!AC92</f>
        <v>172.5</v>
      </c>
      <c r="G18" s="9"/>
      <c r="H18" s="612">
        <f>'Exhibit G'!D80</f>
        <v>1332.5</v>
      </c>
      <c r="I18" s="9"/>
      <c r="J18" s="9">
        <f>+'Exhibit G'!AD80</f>
        <v>1332.5</v>
      </c>
      <c r="K18" s="9"/>
      <c r="L18" s="1414">
        <f>+'Exhibit H'!B47</f>
        <v>43.2</v>
      </c>
      <c r="M18" s="9"/>
      <c r="N18" s="9">
        <f>+'Exhibit H'!AA47</f>
        <v>43.2</v>
      </c>
      <c r="O18" s="9"/>
      <c r="P18" s="1414">
        <f>+'Exhibit I'!E61</f>
        <v>181.3</v>
      </c>
      <c r="Q18" s="612"/>
      <c r="R18" s="612">
        <f>+'Exhibit I'!AF61</f>
        <v>181.3</v>
      </c>
      <c r="S18" s="2268"/>
      <c r="T18" s="2268"/>
      <c r="U18" s="14"/>
      <c r="V18" s="612">
        <f>ROUND(SUM(D18)+SUM(H18)+SUM(L18)+SUM(P18),1)</f>
        <v>1729.5</v>
      </c>
      <c r="W18" s="9" t="s">
        <v>14</v>
      </c>
      <c r="X18" s="22">
        <f t="shared" si="3"/>
        <v>1729.5</v>
      </c>
      <c r="Y18" s="2268"/>
      <c r="Z18" s="2269"/>
      <c r="AA18" s="14"/>
      <c r="AB18" s="2033">
        <v>2637.2</v>
      </c>
      <c r="AC18" s="22"/>
      <c r="AD18" s="1418">
        <f>'Exhibit F'!AF92+'Exhibit G'!AG80+'Exhibit H'!AD47+'Exhibit I'!AI61</f>
        <v>2637.2</v>
      </c>
      <c r="AE18" s="1418"/>
      <c r="AF18" s="2270"/>
      <c r="AG18" s="9">
        <f t="shared" si="1"/>
        <v>-907.7</v>
      </c>
      <c r="AI18" s="1419">
        <f t="shared" si="2"/>
        <v>-0.34399999999999997</v>
      </c>
      <c r="AJ18" s="7"/>
      <c r="AK18" s="2233"/>
      <c r="AL18" s="2233"/>
    </row>
    <row r="19" spans="1:38" ht="18" customHeight="1">
      <c r="A19" s="2244" t="s">
        <v>20</v>
      </c>
      <c r="B19" s="2272"/>
      <c r="C19" s="2244"/>
      <c r="D19" s="612">
        <f>+'Exhibit F'!D94</f>
        <v>0.2</v>
      </c>
      <c r="E19" s="14"/>
      <c r="F19" s="9">
        <f>+'Exhibit F'!AC94</f>
        <v>0.2</v>
      </c>
      <c r="G19" s="9"/>
      <c r="H19" s="612">
        <f>'Exhibit G'!D82</f>
        <v>7158.4</v>
      </c>
      <c r="I19" s="9"/>
      <c r="J19" s="9">
        <f>+'Exhibit G'!AD82</f>
        <v>7158.4</v>
      </c>
      <c r="K19" s="9"/>
      <c r="L19" s="1414">
        <f>+'Exhibit H'!B49</f>
        <v>0</v>
      </c>
      <c r="M19" s="14"/>
      <c r="N19" s="9">
        <f>+'Exhibit H'!AA49</f>
        <v>0</v>
      </c>
      <c r="O19" s="9"/>
      <c r="P19" s="1414">
        <f>+'Exhibit I'!E63</f>
        <v>5.6</v>
      </c>
      <c r="Q19" s="612"/>
      <c r="R19" s="612">
        <f>+'Exhibit I'!AF63</f>
        <v>5.6</v>
      </c>
      <c r="S19" s="2268"/>
      <c r="T19" s="2268"/>
      <c r="U19" s="14"/>
      <c r="V19" s="613">
        <f t="shared" si="0"/>
        <v>7164.2</v>
      </c>
      <c r="W19" s="9" t="s">
        <v>14</v>
      </c>
      <c r="X19" s="1418">
        <f t="shared" si="3"/>
        <v>7164.2</v>
      </c>
      <c r="Y19" s="2268"/>
      <c r="Z19" s="2269"/>
      <c r="AA19" s="14"/>
      <c r="AB19" s="2033">
        <v>10863.1</v>
      </c>
      <c r="AC19" s="22"/>
      <c r="AD19" s="1418">
        <f>'Exhibit F'!AF94+'Exhibit G'!AG82+'Exhibit H'!AD49+'Exhibit I'!AI63</f>
        <v>10863.1</v>
      </c>
      <c r="AE19" s="1418"/>
      <c r="AF19" s="2270"/>
      <c r="AG19" s="9">
        <f t="shared" si="1"/>
        <v>-3698.9</v>
      </c>
      <c r="AI19" s="1419">
        <f t="shared" si="2"/>
        <v>-0.34100000000000003</v>
      </c>
      <c r="AJ19" s="7"/>
      <c r="AK19" s="2233"/>
      <c r="AL19" s="2233"/>
    </row>
    <row r="20" spans="1:38" ht="18" customHeight="1">
      <c r="A20" s="2243" t="s">
        <v>21</v>
      </c>
      <c r="B20" s="2244"/>
      <c r="C20" s="2244"/>
      <c r="D20" s="11">
        <f>ROUND(SUM(D14:D19),1)</f>
        <v>4637.5</v>
      </c>
      <c r="E20" s="2273"/>
      <c r="F20" s="11">
        <f>ROUND(SUM(F14:F19),1)</f>
        <v>4637.5</v>
      </c>
      <c r="G20" s="1358"/>
      <c r="H20" s="12">
        <f>ROUND(SUM(H14:H19),1)</f>
        <v>8877.5</v>
      </c>
      <c r="I20" s="1358"/>
      <c r="J20" s="12">
        <f>ROUND(SUM(J14:J19),1)</f>
        <v>8877.5</v>
      </c>
      <c r="K20" s="1358"/>
      <c r="L20" s="11">
        <f>ROUND(SUM(L14:L19),1)</f>
        <v>4299</v>
      </c>
      <c r="M20" s="1358"/>
      <c r="N20" s="12">
        <f>ROUND(SUM(N14:N19),1)</f>
        <v>4299</v>
      </c>
      <c r="O20" s="1358"/>
      <c r="P20" s="12">
        <f>ROUND(SUM(P14:P19),1)</f>
        <v>271.7</v>
      </c>
      <c r="Q20" s="1358"/>
      <c r="R20" s="12">
        <f>ROUND(SUM(R14:R19),1)</f>
        <v>271.7</v>
      </c>
      <c r="S20" s="2274"/>
      <c r="T20" s="2274"/>
      <c r="U20" s="2275"/>
      <c r="V20" s="12">
        <f>ROUND(SUM(V14:V19),1)</f>
        <v>18085.7</v>
      </c>
      <c r="W20" s="1358"/>
      <c r="X20" s="1551">
        <f>ROUND(SUM(X14:X19),1)</f>
        <v>18085.7</v>
      </c>
      <c r="Y20" s="2274"/>
      <c r="Z20" s="2276"/>
      <c r="AA20" s="2275"/>
      <c r="AB20" s="1551">
        <f>ROUND(SUM(AB14:AB19),1)</f>
        <v>17158.3</v>
      </c>
      <c r="AC20" s="23"/>
      <c r="AD20" s="1551">
        <f>ROUND(SUM(AD14:AD19),1)</f>
        <v>17158.3</v>
      </c>
      <c r="AE20" s="1471"/>
      <c r="AF20" s="2277"/>
      <c r="AG20" s="12">
        <f>ROUND(SUM(AG14:AG19),1)</f>
        <v>927.4</v>
      </c>
      <c r="AH20" s="2278"/>
      <c r="AI20" s="1435">
        <f>(+X20-AD20)/ABS(AD20)</f>
        <v>5.4049643612712299E-2</v>
      </c>
      <c r="AJ20" s="2279"/>
      <c r="AK20" s="2233"/>
      <c r="AL20" s="2233"/>
    </row>
    <row r="21" spans="1:38" ht="16.399999999999999" customHeight="1">
      <c r="A21" s="2243"/>
      <c r="B21" s="2244"/>
      <c r="C21" s="2244"/>
      <c r="D21" s="613"/>
      <c r="E21" s="14"/>
      <c r="F21" s="14"/>
      <c r="G21" s="9"/>
      <c r="H21" s="613"/>
      <c r="I21" s="9"/>
      <c r="J21" s="14"/>
      <c r="K21" s="9"/>
      <c r="L21" s="613"/>
      <c r="M21" s="9"/>
      <c r="N21" s="14"/>
      <c r="O21" s="9"/>
      <c r="P21" s="613"/>
      <c r="Q21" s="612"/>
      <c r="R21" s="613" t="s">
        <v>14</v>
      </c>
      <c r="S21" s="2268"/>
      <c r="T21" s="2268"/>
      <c r="U21" s="14"/>
      <c r="V21" s="613"/>
      <c r="W21" s="9"/>
      <c r="X21" s="1418"/>
      <c r="Y21" s="2268"/>
      <c r="Z21" s="2269"/>
      <c r="AA21" s="14"/>
      <c r="AB21" s="1413"/>
      <c r="AC21" s="22"/>
      <c r="AD21" s="1418"/>
      <c r="AE21" s="1418"/>
      <c r="AF21" s="2270"/>
      <c r="AG21" s="14"/>
      <c r="AI21" s="1422"/>
      <c r="AJ21" s="7"/>
      <c r="AK21" s="2233"/>
      <c r="AL21" s="2233"/>
    </row>
    <row r="22" spans="1:38" ht="16.399999999999999" customHeight="1">
      <c r="A22" s="2243" t="s">
        <v>22</v>
      </c>
      <c r="B22" s="2244"/>
      <c r="C22" s="2244"/>
      <c r="D22" s="612"/>
      <c r="E22" s="9"/>
      <c r="F22" s="9"/>
      <c r="G22" s="9"/>
      <c r="H22" s="612"/>
      <c r="I22" s="9"/>
      <c r="J22" s="9"/>
      <c r="K22" s="9"/>
      <c r="L22" s="612"/>
      <c r="M22" s="9"/>
      <c r="N22" s="9"/>
      <c r="O22" s="9"/>
      <c r="P22" s="612"/>
      <c r="Q22" s="612"/>
      <c r="R22" s="612" t="s">
        <v>14</v>
      </c>
      <c r="S22" s="2268"/>
      <c r="T22" s="2268"/>
      <c r="U22" s="14"/>
      <c r="V22" s="612"/>
      <c r="W22" s="9"/>
      <c r="X22" s="22"/>
      <c r="Y22" s="2268"/>
      <c r="Z22" s="2269"/>
      <c r="AA22" s="14"/>
      <c r="AB22" s="617"/>
      <c r="AC22" s="22"/>
      <c r="AD22" s="1418"/>
      <c r="AE22" s="1418"/>
      <c r="AF22" s="2270"/>
      <c r="AG22" s="9"/>
      <c r="AI22" s="1422"/>
      <c r="AJ22" s="7"/>
      <c r="AK22" s="2233"/>
      <c r="AL22" s="2233"/>
    </row>
    <row r="23" spans="1:38" ht="16.399999999999999" customHeight="1">
      <c r="A23" s="2244" t="s">
        <v>23</v>
      </c>
      <c r="B23" s="2280" t="s">
        <v>14</v>
      </c>
      <c r="C23" s="2244"/>
      <c r="D23" s="615" t="s">
        <v>14</v>
      </c>
      <c r="E23" s="9"/>
      <c r="F23" s="10" t="s">
        <v>14</v>
      </c>
      <c r="G23" s="9"/>
      <c r="H23" s="614"/>
      <c r="I23" s="9"/>
      <c r="J23" s="15"/>
      <c r="K23" s="9"/>
      <c r="L23" s="614"/>
      <c r="M23" s="9"/>
      <c r="N23" s="15"/>
      <c r="O23" s="9"/>
      <c r="P23" s="614"/>
      <c r="Q23" s="612"/>
      <c r="R23" s="614"/>
      <c r="S23" s="2268"/>
      <c r="T23" s="2268"/>
      <c r="U23" s="14"/>
      <c r="V23" s="614"/>
      <c r="W23" s="9"/>
      <c r="X23" s="2380"/>
      <c r="Y23" s="2268"/>
      <c r="Z23" s="2269"/>
      <c r="AA23" s="14"/>
      <c r="AB23" s="1782"/>
      <c r="AC23" s="22"/>
      <c r="AD23" s="2380"/>
      <c r="AE23" s="1418"/>
      <c r="AF23" s="2270"/>
      <c r="AG23" s="15"/>
      <c r="AI23" s="2281"/>
      <c r="AJ23" s="7"/>
      <c r="AK23" s="2233"/>
      <c r="AL23" s="2233"/>
    </row>
    <row r="24" spans="1:38" ht="18" customHeight="1">
      <c r="A24" s="2282" t="s">
        <v>24</v>
      </c>
      <c r="B24" s="2244"/>
      <c r="C24" s="2244"/>
      <c r="D24" s="1361">
        <f>+'Exhibit F'!D100</f>
        <v>523.4</v>
      </c>
      <c r="E24" s="9"/>
      <c r="F24" s="9">
        <f>+'Exhibit F'!AC100</f>
        <v>523.4</v>
      </c>
      <c r="G24" s="9"/>
      <c r="H24" s="1414">
        <f>'Exhibit G'!D88</f>
        <v>273.7</v>
      </c>
      <c r="I24" s="9"/>
      <c r="J24" s="9">
        <f>+'Exhibit G'!AD88</f>
        <v>273.7</v>
      </c>
      <c r="K24" s="9"/>
      <c r="L24" s="1357">
        <v>0</v>
      </c>
      <c r="M24" s="14"/>
      <c r="N24" s="16">
        <v>0</v>
      </c>
      <c r="O24" s="9"/>
      <c r="P24" s="1414">
        <f>'Exhibit I'!E69</f>
        <v>13.5</v>
      </c>
      <c r="Q24" s="1414"/>
      <c r="R24" s="612">
        <f>+'Exhibit I'!AF69</f>
        <v>13.5</v>
      </c>
      <c r="S24" s="2268"/>
      <c r="T24" s="2268"/>
      <c r="U24" s="14"/>
      <c r="V24" s="612">
        <f>ROUND(SUM(D24)+SUM(H24)+SUM(L24)+SUM(P24),1)</f>
        <v>810.6</v>
      </c>
      <c r="W24" s="9" t="s">
        <v>14</v>
      </c>
      <c r="X24" s="22">
        <f>ROUND(SUM(F24)+SUM(J24)+SUM(N24)+SUM(R24),1)</f>
        <v>810.6</v>
      </c>
      <c r="Y24" s="2268"/>
      <c r="Z24" s="2269"/>
      <c r="AA24" s="14"/>
      <c r="AB24" s="2033">
        <v>1149.2</v>
      </c>
      <c r="AC24" s="22"/>
      <c r="AD24" s="1418">
        <f>'Exhibit F'!AF100+'Exhibit G'!AG88+'Exhibit I'!AI69</f>
        <v>1149.2</v>
      </c>
      <c r="AE24" s="2283"/>
      <c r="AF24" s="2284"/>
      <c r="AG24" s="9">
        <f>ROUND(SUM(X24-AD24),1)</f>
        <v>-338.6</v>
      </c>
      <c r="AI24" s="1419">
        <f>ROUND(SUM((+X24-AD24)/ABS(AD24)),3)</f>
        <v>-0.29499999999999998</v>
      </c>
      <c r="AJ24" s="7"/>
      <c r="AK24" s="2233"/>
      <c r="AL24" s="2233"/>
    </row>
    <row r="25" spans="1:38" ht="18" customHeight="1">
      <c r="A25" s="2282" t="s">
        <v>25</v>
      </c>
      <c r="B25" s="2285"/>
      <c r="C25" s="2244"/>
      <c r="D25" s="1361">
        <f>+'Exhibit F'!D101</f>
        <v>0</v>
      </c>
      <c r="E25" s="9"/>
      <c r="F25" s="9">
        <f>+'Exhibit F'!AC101</f>
        <v>0</v>
      </c>
      <c r="G25" s="9"/>
      <c r="H25" s="1414">
        <f>'Exhibit G'!D89</f>
        <v>0.4</v>
      </c>
      <c r="I25" s="9"/>
      <c r="J25" s="9">
        <f>+'Exhibit G'!AD89</f>
        <v>0.4</v>
      </c>
      <c r="K25" s="9"/>
      <c r="L25" s="1357">
        <v>0</v>
      </c>
      <c r="M25" s="14"/>
      <c r="N25" s="16">
        <v>0</v>
      </c>
      <c r="O25" s="9"/>
      <c r="P25" s="1414">
        <f>'Exhibit I'!E70</f>
        <v>29</v>
      </c>
      <c r="Q25" s="1414"/>
      <c r="R25" s="612">
        <f>+'Exhibit I'!AF70</f>
        <v>29</v>
      </c>
      <c r="S25" s="2268"/>
      <c r="T25" s="2268"/>
      <c r="U25" s="14"/>
      <c r="V25" s="612">
        <f t="shared" ref="V25:V32" si="4">ROUND(SUM(D25)+SUM(H25)+SUM(L25)+SUM(P25),1)</f>
        <v>29.4</v>
      </c>
      <c r="W25" s="9" t="s">
        <v>14</v>
      </c>
      <c r="X25" s="22">
        <f t="shared" ref="X25:X32" si="5">ROUND(SUM(F25)+SUM(J25)+SUM(N25)+SUM(R25),1)</f>
        <v>29.4</v>
      </c>
      <c r="Y25" s="2268"/>
      <c r="Z25" s="2269"/>
      <c r="AA25" s="14"/>
      <c r="AB25" s="2033">
        <v>4.5</v>
      </c>
      <c r="AC25" s="3374"/>
      <c r="AD25" s="1418">
        <f>'Exhibit F'!AF101+'Exhibit G'!AG89+'Exhibit I'!AI70</f>
        <v>4.5</v>
      </c>
      <c r="AE25" s="14"/>
      <c r="AF25" s="2270"/>
      <c r="AG25" s="9">
        <f t="shared" ref="AG25:AG33" si="6">ROUND(SUM(X25-AD25),1)</f>
        <v>24.9</v>
      </c>
      <c r="AI25" s="1419">
        <f t="shared" ref="AI25:AI32" si="7">ROUND(SUM((+X25-AD25)/ABS(AD25)),3)</f>
        <v>5.5330000000000004</v>
      </c>
      <c r="AJ25" s="7"/>
      <c r="AK25" s="2233"/>
      <c r="AL25" s="2233"/>
    </row>
    <row r="26" spans="1:38" ht="18" customHeight="1">
      <c r="A26" s="2282" t="s">
        <v>26</v>
      </c>
      <c r="B26" s="2286"/>
      <c r="C26" s="2244"/>
      <c r="D26" s="1361">
        <f>+'Exhibit F'!D102</f>
        <v>2.9</v>
      </c>
      <c r="E26" s="9"/>
      <c r="F26" s="9">
        <f>+'Exhibit F'!AC102</f>
        <v>2.9</v>
      </c>
      <c r="G26" s="9"/>
      <c r="H26" s="1414">
        <f>'Exhibit G'!D90</f>
        <v>21.299999999999997</v>
      </c>
      <c r="I26" s="9"/>
      <c r="J26" s="9">
        <f>+'Exhibit G'!AD90</f>
        <v>21.3</v>
      </c>
      <c r="K26" s="9"/>
      <c r="L26" s="1357">
        <v>0</v>
      </c>
      <c r="M26" s="14"/>
      <c r="N26" s="16">
        <v>0</v>
      </c>
      <c r="O26" s="9"/>
      <c r="P26" s="1414">
        <f>'Exhibit I'!E71</f>
        <v>12.7</v>
      </c>
      <c r="Q26" s="1414"/>
      <c r="R26" s="612">
        <f>+'Exhibit I'!AF71</f>
        <v>12.7</v>
      </c>
      <c r="S26" s="2268"/>
      <c r="T26" s="2268"/>
      <c r="U26" s="14"/>
      <c r="V26" s="612">
        <f t="shared" si="4"/>
        <v>36.9</v>
      </c>
      <c r="W26" s="9" t="s">
        <v>14</v>
      </c>
      <c r="X26" s="22">
        <f t="shared" si="5"/>
        <v>36.9</v>
      </c>
      <c r="Y26" s="2268"/>
      <c r="Z26" s="2269"/>
      <c r="AA26" s="14"/>
      <c r="AB26" s="2033">
        <v>48.5</v>
      </c>
      <c r="AC26" s="22"/>
      <c r="AD26" s="1418">
        <f>'Exhibit F'!AF102+'Exhibit G'!AG90+'Exhibit I'!AI71</f>
        <v>48.5</v>
      </c>
      <c r="AE26" s="14"/>
      <c r="AF26" s="2270"/>
      <c r="AG26" s="9">
        <f t="shared" si="6"/>
        <v>-11.6</v>
      </c>
      <c r="AI26" s="1419">
        <f t="shared" si="7"/>
        <v>-0.23899999999999999</v>
      </c>
      <c r="AJ26" s="7"/>
      <c r="AK26" s="2233"/>
      <c r="AL26" s="2233"/>
    </row>
    <row r="27" spans="1:38" ht="18" customHeight="1">
      <c r="A27" s="2282" t="s">
        <v>27</v>
      </c>
      <c r="B27" s="2287"/>
      <c r="C27" s="2244"/>
      <c r="D27" s="612"/>
      <c r="E27" s="9"/>
      <c r="F27" s="9"/>
      <c r="G27" s="9"/>
      <c r="H27" s="1414"/>
      <c r="I27" s="9"/>
      <c r="J27" s="9" t="s">
        <v>14</v>
      </c>
      <c r="K27" s="9"/>
      <c r="L27" s="1411" t="s">
        <v>14</v>
      </c>
      <c r="M27" s="14"/>
      <c r="N27" s="17" t="s">
        <v>14</v>
      </c>
      <c r="O27" s="9"/>
      <c r="P27" s="1414"/>
      <c r="Q27" s="1414"/>
      <c r="R27" s="612"/>
      <c r="S27" s="2268"/>
      <c r="T27" s="2268"/>
      <c r="U27" s="14"/>
      <c r="V27" s="612" t="s">
        <v>14</v>
      </c>
      <c r="W27" s="9"/>
      <c r="X27" s="617" t="s">
        <v>14</v>
      </c>
      <c r="Y27" s="2268"/>
      <c r="Z27" s="2269"/>
      <c r="AA27" s="14"/>
      <c r="AB27" s="617"/>
      <c r="AC27" s="22"/>
      <c r="AD27" s="22"/>
      <c r="AE27" s="14"/>
      <c r="AF27" s="2270"/>
      <c r="AG27" s="9"/>
      <c r="AI27" s="1431" t="s">
        <v>14</v>
      </c>
      <c r="AJ27" s="7"/>
      <c r="AK27" s="2233"/>
      <c r="AL27" s="2233"/>
    </row>
    <row r="28" spans="1:38" ht="18" customHeight="1">
      <c r="A28" s="2288" t="s">
        <v>28</v>
      </c>
      <c r="B28" s="2267"/>
      <c r="C28" s="2244"/>
      <c r="D28" s="1361">
        <f>+'Exhibit F'!D104</f>
        <v>2741</v>
      </c>
      <c r="E28" s="9"/>
      <c r="F28" s="9">
        <f>+'Exhibit F'!AC104</f>
        <v>2741</v>
      </c>
      <c r="G28" s="9"/>
      <c r="H28" s="1414">
        <f>'Exhibit G'!D92</f>
        <v>3758.1</v>
      </c>
      <c r="I28" s="9"/>
      <c r="J28" s="9">
        <f>+'Exhibit G'!AD92</f>
        <v>3758.1</v>
      </c>
      <c r="K28" s="9"/>
      <c r="L28" s="1357">
        <v>0</v>
      </c>
      <c r="M28" s="14"/>
      <c r="N28" s="16">
        <v>0</v>
      </c>
      <c r="O28" s="9"/>
      <c r="P28" s="1414">
        <f>'Exhibit I'!E73</f>
        <v>0</v>
      </c>
      <c r="Q28" s="1414"/>
      <c r="R28" s="614">
        <f>+'Exhibit I'!AF73</f>
        <v>0</v>
      </c>
      <c r="S28" s="2268"/>
      <c r="T28" s="2268"/>
      <c r="U28" s="14"/>
      <c r="V28" s="612">
        <f t="shared" si="4"/>
        <v>6499.1</v>
      </c>
      <c r="W28" s="9" t="s">
        <v>14</v>
      </c>
      <c r="X28" s="22">
        <f t="shared" si="5"/>
        <v>6499.1</v>
      </c>
      <c r="Y28" s="2268"/>
      <c r="Z28" s="2269"/>
      <c r="AA28" s="14"/>
      <c r="AB28" s="2033">
        <v>5410.3</v>
      </c>
      <c r="AC28" s="22"/>
      <c r="AD28" s="1418">
        <f>'Exhibit F'!AF104+'Exhibit G'!AG92+'Exhibit I'!AI73</f>
        <v>5410.3</v>
      </c>
      <c r="AE28" s="14"/>
      <c r="AF28" s="2270"/>
      <c r="AG28" s="9">
        <f t="shared" si="6"/>
        <v>1088.8</v>
      </c>
      <c r="AI28" s="1419">
        <f t="shared" si="7"/>
        <v>0.20100000000000001</v>
      </c>
      <c r="AJ28" s="7"/>
      <c r="AK28" s="2289"/>
      <c r="AL28" s="2233"/>
    </row>
    <row r="29" spans="1:38" ht="18" customHeight="1">
      <c r="A29" s="2282" t="s">
        <v>29</v>
      </c>
      <c r="B29" s="2267"/>
      <c r="C29" s="2244"/>
      <c r="D29" s="1361">
        <f>+'Exhibit F'!D105</f>
        <v>47.9</v>
      </c>
      <c r="E29" s="9"/>
      <c r="F29" s="9">
        <f>+'Exhibit F'!AC105</f>
        <v>47.9</v>
      </c>
      <c r="G29" s="9"/>
      <c r="H29" s="1414">
        <f>'Exhibit G'!D93</f>
        <v>558.9</v>
      </c>
      <c r="I29" s="9"/>
      <c r="J29" s="9">
        <f>+'Exhibit G'!AD93</f>
        <v>558.9</v>
      </c>
      <c r="K29" s="9"/>
      <c r="L29" s="1357">
        <v>0</v>
      </c>
      <c r="M29" s="14"/>
      <c r="N29" s="16">
        <v>0</v>
      </c>
      <c r="O29" s="9"/>
      <c r="P29" s="1414">
        <f>'Exhibit I'!E74</f>
        <v>45.1</v>
      </c>
      <c r="Q29" s="1414"/>
      <c r="R29" s="612">
        <f>+'Exhibit I'!AF74</f>
        <v>45.1</v>
      </c>
      <c r="S29" s="2268"/>
      <c r="T29" s="2268"/>
      <c r="U29" s="14"/>
      <c r="V29" s="612">
        <f t="shared" si="4"/>
        <v>651.9</v>
      </c>
      <c r="W29" s="9" t="s">
        <v>14</v>
      </c>
      <c r="X29" s="22">
        <f t="shared" si="5"/>
        <v>651.9</v>
      </c>
      <c r="Y29" s="2268"/>
      <c r="Z29" s="2269"/>
      <c r="AA29" s="14"/>
      <c r="AB29" s="2033">
        <v>602.5</v>
      </c>
      <c r="AC29" s="22"/>
      <c r="AD29" s="1418">
        <f>'Exhibit F'!AF105+'Exhibit G'!AG93+'Exhibit I'!AI74</f>
        <v>602.5</v>
      </c>
      <c r="AE29" s="14"/>
      <c r="AF29" s="2270"/>
      <c r="AG29" s="9">
        <f t="shared" si="6"/>
        <v>49.4</v>
      </c>
      <c r="AI29" s="1419">
        <f t="shared" si="7"/>
        <v>8.2000000000000003E-2</v>
      </c>
      <c r="AJ29" s="7"/>
      <c r="AK29" s="2233"/>
      <c r="AL29" s="2233"/>
    </row>
    <row r="30" spans="1:38" ht="18" customHeight="1">
      <c r="A30" s="2282" t="s">
        <v>30</v>
      </c>
      <c r="B30" s="2287"/>
      <c r="C30" s="2244"/>
      <c r="D30" s="1361">
        <f>+'Exhibit F'!D106</f>
        <v>4.5</v>
      </c>
      <c r="E30" s="9"/>
      <c r="F30" s="9">
        <f>+'Exhibit F'!AC106</f>
        <v>4.5</v>
      </c>
      <c r="G30" s="9"/>
      <c r="H30" s="1414">
        <f>'Exhibit G'!D94</f>
        <v>123.2</v>
      </c>
      <c r="I30" s="9"/>
      <c r="J30" s="9">
        <f>+'Exhibit G'!AD94</f>
        <v>123.2</v>
      </c>
      <c r="K30" s="9"/>
      <c r="L30" s="1357">
        <v>0</v>
      </c>
      <c r="M30" s="14"/>
      <c r="N30" s="16">
        <v>0</v>
      </c>
      <c r="O30" s="9"/>
      <c r="P30" s="1414">
        <f>'Exhibit I'!E75</f>
        <v>0.4</v>
      </c>
      <c r="Q30" s="1414"/>
      <c r="R30" s="614">
        <f>+'Exhibit I'!AF75</f>
        <v>0.4</v>
      </c>
      <c r="S30" s="2268"/>
      <c r="T30" s="2268"/>
      <c r="U30" s="14"/>
      <c r="V30" s="612">
        <f t="shared" si="4"/>
        <v>128.1</v>
      </c>
      <c r="W30" s="9" t="s">
        <v>14</v>
      </c>
      <c r="X30" s="22">
        <f t="shared" si="5"/>
        <v>128.1</v>
      </c>
      <c r="Y30" s="2268"/>
      <c r="Z30" s="2269"/>
      <c r="AA30" s="14"/>
      <c r="AB30" s="2033">
        <v>95.300000000000011</v>
      </c>
      <c r="AC30" s="22"/>
      <c r="AD30" s="1418">
        <f>'Exhibit F'!AF106+'Exhibit G'!AG94+'Exhibit I'!AI75</f>
        <v>95.300000000000011</v>
      </c>
      <c r="AE30" s="14"/>
      <c r="AF30" s="2270"/>
      <c r="AG30" s="9">
        <f t="shared" si="6"/>
        <v>32.799999999999997</v>
      </c>
      <c r="AI30" s="1419">
        <f t="shared" si="7"/>
        <v>0.34399999999999997</v>
      </c>
      <c r="AJ30" s="7"/>
      <c r="AK30" s="2233"/>
      <c r="AL30" s="2233"/>
    </row>
    <row r="31" spans="1:38" ht="18" customHeight="1">
      <c r="A31" s="2282" t="s">
        <v>31</v>
      </c>
      <c r="B31" s="2244"/>
      <c r="C31" s="2244"/>
      <c r="D31" s="1361">
        <f>+'Exhibit F'!D107</f>
        <v>43.3</v>
      </c>
      <c r="E31" s="9"/>
      <c r="F31" s="9">
        <f>+'Exhibit F'!AC107</f>
        <v>43.3</v>
      </c>
      <c r="G31" s="9"/>
      <c r="H31" s="1414">
        <f>'Exhibit G'!D95</f>
        <v>158.69999999999999</v>
      </c>
      <c r="I31" s="9"/>
      <c r="J31" s="9">
        <f>+'Exhibit G'!AD95</f>
        <v>158.69999999999999</v>
      </c>
      <c r="K31" s="9"/>
      <c r="L31" s="1357">
        <v>0</v>
      </c>
      <c r="M31" s="14"/>
      <c r="N31" s="16">
        <v>0</v>
      </c>
      <c r="O31" s="9"/>
      <c r="P31" s="1414">
        <f>'Exhibit I'!E76</f>
        <v>28.2</v>
      </c>
      <c r="Q31" s="1414"/>
      <c r="R31" s="612">
        <f>+'Exhibit I'!AF76</f>
        <v>28.2</v>
      </c>
      <c r="S31" s="2268"/>
      <c r="T31" s="2268"/>
      <c r="U31" s="14"/>
      <c r="V31" s="612">
        <f t="shared" si="4"/>
        <v>230.2</v>
      </c>
      <c r="W31" s="9" t="s">
        <v>14</v>
      </c>
      <c r="X31" s="22">
        <f t="shared" si="5"/>
        <v>230.2</v>
      </c>
      <c r="Y31" s="2268"/>
      <c r="Z31" s="2269"/>
      <c r="AA31" s="14"/>
      <c r="AB31" s="2033">
        <v>211.8</v>
      </c>
      <c r="AC31" s="22"/>
      <c r="AD31" s="1418">
        <f>'Exhibit F'!AF107+'Exhibit G'!AG95+'Exhibit I'!AI76</f>
        <v>211.8</v>
      </c>
      <c r="AE31" s="14"/>
      <c r="AF31" s="2270"/>
      <c r="AG31" s="9">
        <f t="shared" si="6"/>
        <v>18.399999999999999</v>
      </c>
      <c r="AI31" s="1419">
        <f t="shared" si="7"/>
        <v>8.6999999999999994E-2</v>
      </c>
      <c r="AJ31" s="7"/>
      <c r="AK31" s="2233"/>
      <c r="AL31" s="2233"/>
    </row>
    <row r="32" spans="1:38" ht="18" customHeight="1">
      <c r="A32" s="2282" t="s">
        <v>32</v>
      </c>
      <c r="B32" s="2287"/>
      <c r="C32" s="2244"/>
      <c r="D32" s="1361">
        <f>+'Exhibit F'!D108</f>
        <v>5</v>
      </c>
      <c r="E32" s="9"/>
      <c r="F32" s="9">
        <f>+'Exhibit F'!AC108</f>
        <v>5</v>
      </c>
      <c r="G32" s="9"/>
      <c r="H32" s="1414">
        <f>'Exhibit G'!D96</f>
        <v>0.5</v>
      </c>
      <c r="I32" s="9"/>
      <c r="J32" s="9">
        <f>+'Exhibit G'!AD96</f>
        <v>0.5</v>
      </c>
      <c r="K32" s="9"/>
      <c r="L32" s="1357">
        <v>0</v>
      </c>
      <c r="M32" s="14" t="s">
        <v>14</v>
      </c>
      <c r="N32" s="16">
        <v>0</v>
      </c>
      <c r="O32" s="9"/>
      <c r="P32" s="1414">
        <f>'Exhibit I'!E77</f>
        <v>21.200000000000003</v>
      </c>
      <c r="Q32" s="1414"/>
      <c r="R32" s="612">
        <f>+'Exhibit I'!AF77</f>
        <v>21.2</v>
      </c>
      <c r="S32" s="2268"/>
      <c r="T32" s="2268"/>
      <c r="U32" s="14"/>
      <c r="V32" s="612">
        <f t="shared" si="4"/>
        <v>26.7</v>
      </c>
      <c r="W32" s="9" t="s">
        <v>14</v>
      </c>
      <c r="X32" s="22">
        <f t="shared" si="5"/>
        <v>26.7</v>
      </c>
      <c r="Y32" s="2268"/>
      <c r="Z32" s="2269"/>
      <c r="AA32" s="14"/>
      <c r="AB32" s="2033">
        <v>48.1</v>
      </c>
      <c r="AC32" s="22"/>
      <c r="AD32" s="1418">
        <f>'Exhibit F'!AF108+'Exhibit G'!AG96+'Exhibit I'!AI77</f>
        <v>48.1</v>
      </c>
      <c r="AE32" s="14"/>
      <c r="AF32" s="2270"/>
      <c r="AG32" s="9">
        <f t="shared" si="6"/>
        <v>-21.4</v>
      </c>
      <c r="AI32" s="1419">
        <f t="shared" si="7"/>
        <v>-0.44500000000000001</v>
      </c>
      <c r="AJ32" s="7"/>
      <c r="AK32" s="2233"/>
      <c r="AL32" s="2233"/>
    </row>
    <row r="33" spans="1:38" ht="18" customHeight="1">
      <c r="A33" s="2282" t="s">
        <v>33</v>
      </c>
      <c r="B33" s="2244"/>
      <c r="C33" s="2244"/>
      <c r="D33" s="1361">
        <f>+'Exhibit F'!D109</f>
        <v>9.5</v>
      </c>
      <c r="E33" s="9"/>
      <c r="F33" s="9">
        <f>+'Exhibit F'!AC109</f>
        <v>9.5</v>
      </c>
      <c r="G33" s="9"/>
      <c r="H33" s="1414">
        <f>'Exhibit G'!D97</f>
        <v>201.4</v>
      </c>
      <c r="I33" s="9"/>
      <c r="J33" s="9">
        <f>+'Exhibit G'!AD97</f>
        <v>201.4</v>
      </c>
      <c r="K33" s="9"/>
      <c r="L33" s="1357">
        <v>0</v>
      </c>
      <c r="M33" s="14"/>
      <c r="N33" s="16">
        <v>0</v>
      </c>
      <c r="O33" s="9"/>
      <c r="P33" s="1414">
        <f>'Exhibit I'!E78</f>
        <v>181.70000000000002</v>
      </c>
      <c r="Q33" s="1414"/>
      <c r="R33" s="612">
        <f>+'Exhibit I'!AF78</f>
        <v>181.7</v>
      </c>
      <c r="S33" s="2268"/>
      <c r="T33" s="2268"/>
      <c r="U33" s="14"/>
      <c r="V33" s="612">
        <f>ROUND(SUM(D33)+SUM(H33)+SUM(L33)+SUM(P33),1)</f>
        <v>392.6</v>
      </c>
      <c r="W33" s="9" t="s">
        <v>14</v>
      </c>
      <c r="X33" s="22">
        <f>ROUND(SUM(F33)+SUM(J33)+SUM(N33)+SUM(R33),1)</f>
        <v>392.6</v>
      </c>
      <c r="Y33" s="2268"/>
      <c r="Z33" s="2269"/>
      <c r="AA33" s="14"/>
      <c r="AB33" s="2033">
        <v>90</v>
      </c>
      <c r="AC33" s="22"/>
      <c r="AD33" s="1418">
        <f>'Exhibit F'!AF109+'Exhibit G'!AG97+'Exhibit I'!AI78</f>
        <v>90</v>
      </c>
      <c r="AE33" s="14"/>
      <c r="AF33" s="2270"/>
      <c r="AG33" s="9">
        <f t="shared" si="6"/>
        <v>302.60000000000002</v>
      </c>
      <c r="AI33" s="1419">
        <f>ROUND(SUM((+X33-AD33)/ABS(AD33)),3)</f>
        <v>3.3620000000000001</v>
      </c>
      <c r="AJ33" s="7"/>
      <c r="AK33" s="2233"/>
      <c r="AL33" s="2233"/>
    </row>
    <row r="34" spans="1:38" ht="18" customHeight="1">
      <c r="A34" s="2243" t="s">
        <v>34</v>
      </c>
      <c r="B34" s="2244"/>
      <c r="C34" s="2244"/>
      <c r="D34" s="12">
        <f>ROUND(SUM(D24:D33),1)</f>
        <v>3377.5</v>
      </c>
      <c r="E34" s="2275"/>
      <c r="F34" s="12">
        <f>ROUND(SUM(F24:F33),1)</f>
        <v>3377.5</v>
      </c>
      <c r="G34" s="1358"/>
      <c r="H34" s="12">
        <f>ROUND(SUM(H24:H33),1)</f>
        <v>5096.2</v>
      </c>
      <c r="I34" s="1358"/>
      <c r="J34" s="12">
        <f>ROUND(SUM(J24:J33),1)</f>
        <v>5096.2</v>
      </c>
      <c r="K34" s="1358"/>
      <c r="L34" s="12">
        <f>ROUND(SUM(L24:L33),1)</f>
        <v>0</v>
      </c>
      <c r="M34" s="1358"/>
      <c r="N34" s="1416">
        <f>ROUND(SUM(N24:N33),1)</f>
        <v>0</v>
      </c>
      <c r="O34" s="1358"/>
      <c r="P34" s="11">
        <f>ROUND(SUM(P24:P33),1)</f>
        <v>331.8</v>
      </c>
      <c r="Q34" s="1358"/>
      <c r="R34" s="11">
        <f>ROUND(SUM(R24:R33),1)</f>
        <v>331.8</v>
      </c>
      <c r="S34" s="2274"/>
      <c r="T34" s="2274"/>
      <c r="U34" s="2275"/>
      <c r="V34" s="12">
        <f>ROUND(SUM(V24:V33),1)</f>
        <v>8805.5</v>
      </c>
      <c r="W34" s="1358"/>
      <c r="X34" s="1551">
        <f>ROUND(SUM(X24:X33),1)</f>
        <v>8805.5</v>
      </c>
      <c r="Y34" s="2274"/>
      <c r="Z34" s="2276"/>
      <c r="AA34" s="2275"/>
      <c r="AB34" s="1551">
        <f>ROUND(SUM(AB23:AB33),1)</f>
        <v>7660.2</v>
      </c>
      <c r="AC34" s="23"/>
      <c r="AD34" s="1551">
        <f>ROUND(SUM(AD23:AD33),1)</f>
        <v>7660.2</v>
      </c>
      <c r="AE34" s="1471"/>
      <c r="AF34" s="2277"/>
      <c r="AG34" s="12">
        <f>ROUND(SUM(AG24:AG33),1)</f>
        <v>1145.3</v>
      </c>
      <c r="AH34" s="2278"/>
      <c r="AI34" s="1435">
        <f>ROUND(SUM((+X34-AD34)/ABS(AD34)),3)</f>
        <v>0.15</v>
      </c>
      <c r="AJ34" s="2245"/>
      <c r="AK34" s="2233"/>
      <c r="AL34" s="2233"/>
    </row>
    <row r="35" spans="1:38" ht="18" customHeight="1">
      <c r="A35" s="2244" t="s">
        <v>35</v>
      </c>
      <c r="B35" s="2286"/>
      <c r="C35" s="2244"/>
      <c r="D35" s="612"/>
      <c r="E35" s="9"/>
      <c r="F35" s="9"/>
      <c r="G35" s="9"/>
      <c r="H35" s="612"/>
      <c r="I35" s="9"/>
      <c r="J35" s="9"/>
      <c r="K35" s="9"/>
      <c r="L35" s="612"/>
      <c r="M35" s="9"/>
      <c r="N35" s="9"/>
      <c r="O35" s="9"/>
      <c r="P35" s="612"/>
      <c r="Q35" s="612"/>
      <c r="R35" s="612"/>
      <c r="S35" s="2268"/>
      <c r="T35" s="2268"/>
      <c r="U35" s="14"/>
      <c r="V35" s="612"/>
      <c r="W35" s="9"/>
      <c r="X35" s="22"/>
      <c r="Y35" s="2268"/>
      <c r="Z35" s="2269"/>
      <c r="AA35" s="14"/>
      <c r="AB35" s="617"/>
      <c r="AC35" s="22"/>
      <c r="AD35" s="1418"/>
      <c r="AE35" s="1418"/>
      <c r="AF35" s="2270"/>
      <c r="AG35" s="9"/>
      <c r="AI35" s="1422"/>
      <c r="AJ35" s="7"/>
      <c r="AK35" s="2233"/>
      <c r="AL35" s="2233"/>
    </row>
    <row r="36" spans="1:38" ht="18" customHeight="1">
      <c r="A36" s="2244" t="s">
        <v>36</v>
      </c>
      <c r="B36" s="2285"/>
      <c r="C36" s="2244"/>
      <c r="D36" s="612">
        <f>+'Exhibit F'!D112</f>
        <v>707.6</v>
      </c>
      <c r="E36" s="9"/>
      <c r="F36" s="9">
        <f>+'Exhibit F'!AC112</f>
        <v>707.6</v>
      </c>
      <c r="G36" s="9"/>
      <c r="H36" s="1414">
        <f>'Exhibit G'!D100</f>
        <v>450.6</v>
      </c>
      <c r="I36" s="9"/>
      <c r="J36" s="9">
        <f>+'Exhibit G'!AD100</f>
        <v>450.6</v>
      </c>
      <c r="K36" s="9"/>
      <c r="L36" s="615">
        <v>0</v>
      </c>
      <c r="M36" s="9"/>
      <c r="N36" s="10">
        <v>0</v>
      </c>
      <c r="O36" s="9"/>
      <c r="P36" s="615">
        <f>'Exhibit I'!E81</f>
        <v>0</v>
      </c>
      <c r="Q36" s="612"/>
      <c r="R36" s="615">
        <f>+'Exhibit I'!AF81</f>
        <v>0</v>
      </c>
      <c r="S36" s="2268"/>
      <c r="T36" s="2268"/>
      <c r="U36" s="14"/>
      <c r="V36" s="612">
        <f>ROUND(SUM(D36)+SUM(H36)+SUM(L36)+SUM(P36),1)</f>
        <v>1158.2</v>
      </c>
      <c r="W36" s="9" t="s">
        <v>14</v>
      </c>
      <c r="X36" s="22">
        <f>ROUND(SUM(F36)+SUM(J36)+SUM(N36)+SUM(R36),1)</f>
        <v>1158.2</v>
      </c>
      <c r="Y36" s="2268"/>
      <c r="Z36" s="2269"/>
      <c r="AA36" s="14"/>
      <c r="AB36" s="2033">
        <v>1569.5</v>
      </c>
      <c r="AC36" s="3375"/>
      <c r="AD36" s="22">
        <f>'Exhibit F'!AF112+'Exhibit G'!AG100+'Exhibit I'!AI81</f>
        <v>1569.5</v>
      </c>
      <c r="AE36" s="14"/>
      <c r="AF36" s="2270"/>
      <c r="AG36" s="9">
        <f>ROUND(SUM(X36-AD36),1)</f>
        <v>-411.3</v>
      </c>
      <c r="AI36" s="1419">
        <f>ROUND(SUM((+X36-AD36)/ABS(AD36)),3)</f>
        <v>-0.26200000000000001</v>
      </c>
      <c r="AJ36" s="7"/>
      <c r="AK36" s="2233"/>
      <c r="AL36" s="2233"/>
    </row>
    <row r="37" spans="1:38" ht="18" customHeight="1">
      <c r="A37" s="2244" t="s">
        <v>37</v>
      </c>
      <c r="B37" s="2286"/>
      <c r="C37" s="2244"/>
      <c r="D37" s="612">
        <f>+'Exhibit F'!D113</f>
        <v>136.69999999999999</v>
      </c>
      <c r="E37" s="9"/>
      <c r="F37" s="9">
        <f>+'Exhibit F'!AC113</f>
        <v>136.69999999999999</v>
      </c>
      <c r="G37" s="9"/>
      <c r="H37" s="1414">
        <f>'Exhibit G'!D101</f>
        <v>382.5</v>
      </c>
      <c r="I37" s="9"/>
      <c r="J37" s="9">
        <f>+'Exhibit G'!AD101</f>
        <v>382.5</v>
      </c>
      <c r="K37" s="9"/>
      <c r="L37" s="1414">
        <f>+'Exhibit H'!B55</f>
        <v>0.2</v>
      </c>
      <c r="M37" s="9"/>
      <c r="N37" s="9">
        <f>+'Exhibit H'!AA55</f>
        <v>0.2</v>
      </c>
      <c r="O37" s="9" t="s">
        <v>14</v>
      </c>
      <c r="P37" s="615">
        <f>'Exhibit I'!E82</f>
        <v>0</v>
      </c>
      <c r="Q37" s="612"/>
      <c r="R37" s="615">
        <f>+'Exhibit I'!AF82</f>
        <v>0</v>
      </c>
      <c r="S37" s="2268"/>
      <c r="T37" s="2268"/>
      <c r="U37" s="14"/>
      <c r="V37" s="612">
        <f>ROUND(SUM(D37)+SUM(H37)+SUM(L37)+SUM(P37),1)</f>
        <v>519.4</v>
      </c>
      <c r="W37" s="9" t="s">
        <v>14</v>
      </c>
      <c r="X37" s="22">
        <f>ROUND(SUM(F37)+SUM(J37)+SUM(N37)+SUM(R37),1)</f>
        <v>519.4</v>
      </c>
      <c r="Y37" s="2268"/>
      <c r="Z37" s="2269"/>
      <c r="AA37" s="14"/>
      <c r="AB37" s="2033">
        <v>584.1</v>
      </c>
      <c r="AC37" s="3375"/>
      <c r="AD37" s="22">
        <f>'Exhibit F'!AF113+'Exhibit G'!AG101+'Exhibit I'!AI82+'Exhibit H'!AD55</f>
        <v>584.09999999999991</v>
      </c>
      <c r="AE37" s="14"/>
      <c r="AF37" s="2270"/>
      <c r="AG37" s="9">
        <f>ROUND(SUM(X37-AD37),1)</f>
        <v>-64.7</v>
      </c>
      <c r="AI37" s="1419">
        <f>ROUND(SUM((+X37-AD37)/ABS(AD37)),3)</f>
        <v>-0.111</v>
      </c>
      <c r="AJ37" s="7"/>
      <c r="AK37" s="2233"/>
      <c r="AL37" s="2233"/>
    </row>
    <row r="38" spans="1:38" ht="18" customHeight="1">
      <c r="A38" s="2244" t="s">
        <v>38</v>
      </c>
      <c r="B38" s="2287"/>
      <c r="C38" s="2244"/>
      <c r="D38" s="612">
        <f>+'Exhibit F'!D114</f>
        <v>810.3</v>
      </c>
      <c r="E38" s="9"/>
      <c r="F38" s="9">
        <f>+'Exhibit F'!AC114</f>
        <v>810.3</v>
      </c>
      <c r="G38" s="2290"/>
      <c r="H38" s="1414">
        <f>'Exhibit G'!D102</f>
        <v>85.199999999999989</v>
      </c>
      <c r="I38" s="9"/>
      <c r="J38" s="9">
        <f>+'Exhibit G'!AD102</f>
        <v>85.2</v>
      </c>
      <c r="K38" s="9"/>
      <c r="L38" s="615">
        <v>0</v>
      </c>
      <c r="M38" s="9"/>
      <c r="N38" s="10">
        <v>0</v>
      </c>
      <c r="O38" s="9"/>
      <c r="P38" s="615">
        <f>'Exhibit I'!E83</f>
        <v>0</v>
      </c>
      <c r="Q38" s="612"/>
      <c r="R38" s="615">
        <f>+'Exhibit I'!AF83</f>
        <v>0</v>
      </c>
      <c r="S38" s="2268"/>
      <c r="T38" s="2268"/>
      <c r="U38" s="14"/>
      <c r="V38" s="612">
        <f>ROUND(SUM(D38)+SUM(H38)+SUM(L38)+SUM(P38),1)</f>
        <v>895.5</v>
      </c>
      <c r="W38" s="9" t="s">
        <v>14</v>
      </c>
      <c r="X38" s="22">
        <f>ROUND(SUM(F38)+SUM(J38)+SUM(N38)+SUM(R38),1)</f>
        <v>895.5</v>
      </c>
      <c r="Y38" s="2268"/>
      <c r="Z38" s="2269"/>
      <c r="AA38" s="14"/>
      <c r="AB38" s="2033">
        <v>535.20000000000005</v>
      </c>
      <c r="AC38" s="22"/>
      <c r="AD38" s="22">
        <f>'Exhibit F'!AF114+'Exhibit G'!AG102+'Exhibit I'!AI83</f>
        <v>535.20000000000005</v>
      </c>
      <c r="AE38" s="14"/>
      <c r="AF38" s="2270"/>
      <c r="AG38" s="9">
        <f>ROUND(SUM(X38-AD38),1)</f>
        <v>360.3</v>
      </c>
      <c r="AI38" s="1419">
        <f>ROUND(SUM((+X38-AD38)/ABS(AD38)),3)</f>
        <v>0.67300000000000004</v>
      </c>
      <c r="AJ38" s="7"/>
      <c r="AK38" s="2233"/>
      <c r="AL38" s="2233"/>
    </row>
    <row r="39" spans="1:38" ht="18" customHeight="1">
      <c r="A39" s="2244" t="s">
        <v>39</v>
      </c>
      <c r="B39" s="2244"/>
      <c r="C39" s="2244"/>
      <c r="D39" s="612"/>
      <c r="E39" s="9"/>
      <c r="F39" s="9"/>
      <c r="G39" s="9"/>
      <c r="H39" s="612"/>
      <c r="I39" s="9"/>
      <c r="J39" s="18"/>
      <c r="K39" s="9"/>
      <c r="L39" s="612"/>
      <c r="M39" s="9"/>
      <c r="N39" s="9"/>
      <c r="O39" s="9"/>
      <c r="P39" s="615"/>
      <c r="Q39" s="612"/>
      <c r="R39" s="612"/>
      <c r="S39" s="2268"/>
      <c r="T39" s="2268"/>
      <c r="U39" s="14"/>
      <c r="V39" s="612"/>
      <c r="W39" s="9"/>
      <c r="X39" s="22"/>
      <c r="Y39" s="2268"/>
      <c r="Z39" s="2269"/>
      <c r="AA39" s="14"/>
      <c r="AB39" s="617"/>
      <c r="AC39" s="22"/>
      <c r="AD39" s="1418"/>
      <c r="AE39" s="14"/>
      <c r="AF39" s="2270"/>
      <c r="AG39" s="9"/>
      <c r="AI39" s="1419"/>
      <c r="AJ39" s="7"/>
      <c r="AK39" s="2233"/>
      <c r="AL39" s="2233"/>
    </row>
    <row r="40" spans="1:38" ht="18" customHeight="1">
      <c r="A40" s="2244" t="s">
        <v>40</v>
      </c>
      <c r="B40" s="2280"/>
      <c r="C40" s="2244"/>
      <c r="D40" s="615">
        <v>0</v>
      </c>
      <c r="E40" s="9"/>
      <c r="F40" s="10">
        <v>0</v>
      </c>
      <c r="G40" s="9"/>
      <c r="H40" s="1414">
        <f>'Exhibit G'!D104</f>
        <v>0</v>
      </c>
      <c r="I40" s="9"/>
      <c r="J40" s="10">
        <f>'Exhibit G'!AD104</f>
        <v>0</v>
      </c>
      <c r="K40" s="9"/>
      <c r="L40" s="612">
        <f>+'Exhibit H'!B57</f>
        <v>122.4</v>
      </c>
      <c r="M40" s="9"/>
      <c r="N40" s="9">
        <f>+'Exhibit H'!AA57</f>
        <v>122.4</v>
      </c>
      <c r="O40" s="9" t="s">
        <v>14</v>
      </c>
      <c r="P40" s="615">
        <v>0</v>
      </c>
      <c r="Q40" s="612"/>
      <c r="R40" s="615">
        <v>0</v>
      </c>
      <c r="S40" s="2268"/>
      <c r="T40" s="2268"/>
      <c r="U40" s="14"/>
      <c r="V40" s="612">
        <f>ROUND(SUM(D40)+SUM(H40)+SUM(L40)+SUM(P40),1)</f>
        <v>122.4</v>
      </c>
      <c r="W40" s="9" t="s">
        <v>14</v>
      </c>
      <c r="X40" s="22">
        <f>ROUND(SUM(F40)+SUM(J40)+SUM(N40)+SUM(R40),1)</f>
        <v>122.4</v>
      </c>
      <c r="Y40" s="2268"/>
      <c r="Z40" s="2269"/>
      <c r="AA40" s="14"/>
      <c r="AB40" s="2033">
        <v>36.5</v>
      </c>
      <c r="AC40" s="22"/>
      <c r="AD40" s="1418">
        <f>'Exhibit H'!AD57</f>
        <v>36.5</v>
      </c>
      <c r="AE40" s="14"/>
      <c r="AF40" s="2270"/>
      <c r="AG40" s="9">
        <f>ROUND(SUM(X40-AD40),1)</f>
        <v>85.9</v>
      </c>
      <c r="AI40" s="1419">
        <f>ROUND(SUM((+X40-AD40)/ABS(AD40)),3)</f>
        <v>2.3530000000000002</v>
      </c>
      <c r="AJ40" s="2291"/>
      <c r="AK40" s="2233"/>
      <c r="AL40" s="2233"/>
    </row>
    <row r="41" spans="1:38" ht="18" customHeight="1">
      <c r="A41" s="2244" t="s">
        <v>41</v>
      </c>
      <c r="B41" s="2287" t="s">
        <v>871</v>
      </c>
      <c r="C41" s="2244"/>
      <c r="D41" s="1411">
        <v>0</v>
      </c>
      <c r="E41" s="9"/>
      <c r="F41" s="17">
        <v>0</v>
      </c>
      <c r="G41" s="9"/>
      <c r="H41" s="1414">
        <f>'Exhibit G'!D105</f>
        <v>0</v>
      </c>
      <c r="I41" s="9"/>
      <c r="J41" s="9">
        <f>+'Exhibit G'!AD105</f>
        <v>0</v>
      </c>
      <c r="K41" s="9"/>
      <c r="L41" s="1411">
        <v>0</v>
      </c>
      <c r="M41" s="9"/>
      <c r="N41" s="17">
        <v>0</v>
      </c>
      <c r="O41" s="9"/>
      <c r="P41" s="1414">
        <f>'Exhibit I'!E84</f>
        <v>398.20000000000005</v>
      </c>
      <c r="Q41" s="612"/>
      <c r="R41" s="616">
        <f>+'Exhibit I'!AF84</f>
        <v>398.2</v>
      </c>
      <c r="S41" s="2268"/>
      <c r="T41" s="2268"/>
      <c r="U41" s="14"/>
      <c r="V41" s="612">
        <f>ROUND(SUM(D41)+SUM(H41)+SUM(L41)+SUM(P41),1)</f>
        <v>398.2</v>
      </c>
      <c r="W41" s="9" t="s">
        <v>14</v>
      </c>
      <c r="X41" s="22">
        <f>ROUND(SUM(F41)+SUM(J41)+SUM(N41)+SUM(R41),1)</f>
        <v>398.2</v>
      </c>
      <c r="Y41" s="2268"/>
      <c r="Z41" s="2269"/>
      <c r="AA41" s="14"/>
      <c r="AB41" s="2033">
        <v>509.8</v>
      </c>
      <c r="AC41" s="22"/>
      <c r="AD41" s="1418">
        <f>'Exhibit G'!AG105+'Exhibit I'!AI84</f>
        <v>509.8</v>
      </c>
      <c r="AE41" s="14"/>
      <c r="AF41" s="2270"/>
      <c r="AG41" s="9">
        <f>ROUND(SUM(X41-AD41),1)</f>
        <v>-111.6</v>
      </c>
      <c r="AI41" s="1419">
        <f>ROUND(SUM((+X41-AD41)/ABS(AD41)),3)</f>
        <v>-0.219</v>
      </c>
      <c r="AJ41" s="2291"/>
      <c r="AK41" s="2233"/>
      <c r="AL41" s="2233"/>
    </row>
    <row r="42" spans="1:38" ht="18" customHeight="1">
      <c r="A42" s="2243" t="s">
        <v>42</v>
      </c>
      <c r="B42" s="2244"/>
      <c r="C42" s="2244"/>
      <c r="D42" s="12">
        <f>ROUND(SUM(D34:D41),1)</f>
        <v>5032.1000000000004</v>
      </c>
      <c r="E42" s="1358"/>
      <c r="F42" s="12">
        <f>ROUND(SUM(F34:F41),1)</f>
        <v>5032.1000000000004</v>
      </c>
      <c r="G42" s="1358"/>
      <c r="H42" s="12">
        <f>ROUND(SUM(H34:H41),1)</f>
        <v>6014.5</v>
      </c>
      <c r="I42" s="1358"/>
      <c r="J42" s="12">
        <f>ROUND(SUM(J34:J41),1)</f>
        <v>6014.5</v>
      </c>
      <c r="K42" s="1358"/>
      <c r="L42" s="12">
        <f>ROUND(SUM(L34:L41),1)</f>
        <v>122.6</v>
      </c>
      <c r="M42" s="1358"/>
      <c r="N42" s="12">
        <f>ROUND(SUM(N34:N41),1)</f>
        <v>122.6</v>
      </c>
      <c r="O42" s="1358"/>
      <c r="P42" s="12">
        <f>ROUND(SUM(P34:P41),1)</f>
        <v>730</v>
      </c>
      <c r="Q42" s="1358"/>
      <c r="R42" s="12">
        <f>ROUND(SUM(R34:R41),1)</f>
        <v>730</v>
      </c>
      <c r="S42" s="2274"/>
      <c r="T42" s="2274"/>
      <c r="U42" s="2275"/>
      <c r="V42" s="12">
        <f>ROUND(SUM(V34:V41),1)</f>
        <v>11899.2</v>
      </c>
      <c r="W42" s="1358"/>
      <c r="X42" s="1551">
        <f>ROUND(SUM(X34:X41),1)</f>
        <v>11899.2</v>
      </c>
      <c r="Y42" s="2274"/>
      <c r="Z42" s="2276"/>
      <c r="AA42" s="2275"/>
      <c r="AB42" s="1551">
        <f>ROUND(SUM(AB34:AB41),1)</f>
        <v>10895.3</v>
      </c>
      <c r="AC42" s="23"/>
      <c r="AD42" s="1551">
        <f>ROUND(SUM(AD34:AD41),1)</f>
        <v>10895.3</v>
      </c>
      <c r="AE42" s="1471"/>
      <c r="AF42" s="2277"/>
      <c r="AG42" s="12">
        <f>ROUND(SUM(AG34:AG41),1)</f>
        <v>1003.9</v>
      </c>
      <c r="AH42" s="2278"/>
      <c r="AI42" s="1435">
        <f>ROUND(SUM((+X42-AD42)/ABS(AD42)),3)</f>
        <v>9.1999999999999998E-2</v>
      </c>
      <c r="AJ42" s="2245"/>
      <c r="AK42" s="2233"/>
      <c r="AL42" s="2233"/>
    </row>
    <row r="43" spans="1:38" ht="16.399999999999999" customHeight="1">
      <c r="A43" s="2243"/>
      <c r="B43" s="2244"/>
      <c r="C43" s="2244"/>
      <c r="D43" s="613"/>
      <c r="E43" s="9"/>
      <c r="F43" s="14"/>
      <c r="G43" s="9"/>
      <c r="H43" s="613"/>
      <c r="I43" s="9"/>
      <c r="J43" s="14"/>
      <c r="K43" s="9"/>
      <c r="L43" s="613"/>
      <c r="M43" s="9"/>
      <c r="N43" s="14"/>
      <c r="O43" s="9"/>
      <c r="P43" s="1417"/>
      <c r="Q43" s="612"/>
      <c r="R43" s="613"/>
      <c r="S43" s="2268"/>
      <c r="T43" s="2268"/>
      <c r="U43" s="14"/>
      <c r="V43" s="613"/>
      <c r="W43" s="9"/>
      <c r="X43" s="1418"/>
      <c r="Y43" s="2268"/>
      <c r="Z43" s="2269"/>
      <c r="AA43" s="14"/>
      <c r="AB43" s="1413" t="s">
        <v>14</v>
      </c>
      <c r="AC43" s="22"/>
      <c r="AD43" s="1418"/>
      <c r="AE43" s="1418"/>
      <c r="AF43" s="2270"/>
      <c r="AG43" s="14"/>
      <c r="AI43" s="1422"/>
      <c r="AJ43" s="7"/>
      <c r="AK43" s="2233"/>
      <c r="AL43" s="2233"/>
    </row>
    <row r="44" spans="1:38" ht="16.399999999999999" customHeight="1">
      <c r="A44" s="2243" t="s">
        <v>43</v>
      </c>
      <c r="B44" s="2243"/>
      <c r="C44" s="2244"/>
      <c r="D44" s="612"/>
      <c r="E44" s="9"/>
      <c r="F44" s="9"/>
      <c r="G44" s="9"/>
      <c r="H44" s="612"/>
      <c r="I44" s="9"/>
      <c r="J44" s="9"/>
      <c r="K44" s="9"/>
      <c r="L44" s="612" t="s">
        <v>14</v>
      </c>
      <c r="M44" s="9"/>
      <c r="N44" s="9"/>
      <c r="O44" s="9"/>
      <c r="P44" s="1414"/>
      <c r="Q44" s="612"/>
      <c r="R44" s="612"/>
      <c r="S44" s="2268"/>
      <c r="T44" s="2268"/>
      <c r="U44" s="14"/>
      <c r="V44" s="612"/>
      <c r="W44" s="9"/>
      <c r="X44" s="22"/>
      <c r="Y44" s="2268"/>
      <c r="Z44" s="2269"/>
      <c r="AA44" s="14"/>
      <c r="AB44" s="617"/>
      <c r="AC44" s="22"/>
      <c r="AD44" s="1418"/>
      <c r="AE44" s="1418"/>
      <c r="AF44" s="2270"/>
      <c r="AG44" s="9"/>
      <c r="AI44" s="1422"/>
      <c r="AJ44" s="7"/>
      <c r="AK44" s="2233"/>
      <c r="AL44" s="2233"/>
    </row>
    <row r="45" spans="1:38" ht="16.399999999999999" customHeight="1">
      <c r="A45" s="2243" t="s">
        <v>44</v>
      </c>
      <c r="B45" s="2243"/>
      <c r="C45" s="2244"/>
      <c r="D45" s="19">
        <f>ROUND(SUM(D20-D42),1)</f>
        <v>-394.6</v>
      </c>
      <c r="E45" s="1358"/>
      <c r="F45" s="19">
        <f>ROUND(SUM(F20-F42),1)</f>
        <v>-394.6</v>
      </c>
      <c r="G45" s="1358"/>
      <c r="H45" s="19">
        <f>ROUND(SUM(H20-H42),1)</f>
        <v>2863</v>
      </c>
      <c r="I45" s="1358"/>
      <c r="J45" s="19">
        <f>ROUND(SUM(J20-J42),1)</f>
        <v>2863</v>
      </c>
      <c r="K45" s="1358"/>
      <c r="L45" s="19">
        <f>ROUND(SUM(L20-L42),1)</f>
        <v>4176.3999999999996</v>
      </c>
      <c r="M45" s="1358" t="s">
        <v>14</v>
      </c>
      <c r="N45" s="19">
        <f>ROUND(SUM(N20-N42),1)</f>
        <v>4176.3999999999996</v>
      </c>
      <c r="O45" s="1358" t="s">
        <v>14</v>
      </c>
      <c r="P45" s="20">
        <f>ROUND(SUM(P20-P42),1)</f>
        <v>-458.3</v>
      </c>
      <c r="Q45" s="1358" t="s">
        <v>14</v>
      </c>
      <c r="R45" s="20">
        <f>ROUND(SUM(R20-R42),1)</f>
        <v>-458.3</v>
      </c>
      <c r="S45" s="2274"/>
      <c r="T45" s="2274"/>
      <c r="U45" s="2275"/>
      <c r="V45" s="19">
        <f>ROUND(SUM(V20-V42),1)</f>
        <v>6186.5</v>
      </c>
      <c r="W45" s="1358" t="s">
        <v>14</v>
      </c>
      <c r="X45" s="1644">
        <f>ROUND(SUM(X20-X42),1)</f>
        <v>6186.5</v>
      </c>
      <c r="Y45" s="2274"/>
      <c r="Z45" s="2276"/>
      <c r="AA45" s="2275"/>
      <c r="AB45" s="1644">
        <f>ROUND(SUM(AB20-AB42),1)</f>
        <v>6263</v>
      </c>
      <c r="AC45" s="23"/>
      <c r="AD45" s="1644">
        <f>ROUND(SUM(AD20-AD42),1)</f>
        <v>6263</v>
      </c>
      <c r="AE45" s="1471"/>
      <c r="AF45" s="2277"/>
      <c r="AG45" s="19">
        <f>ROUND(SUM(X45-AD45),1)</f>
        <v>-76.5</v>
      </c>
      <c r="AH45" s="2292"/>
      <c r="AI45" s="1421">
        <f>ROUND(SUM((+X45-AD45)/ABS(AD45)),3)</f>
        <v>-1.2E-2</v>
      </c>
      <c r="AJ45" s="2245"/>
      <c r="AK45" s="2233"/>
      <c r="AL45" s="2233"/>
    </row>
    <row r="46" spans="1:38" ht="16.399999999999999" customHeight="1">
      <c r="A46" s="2244"/>
      <c r="B46" s="2244"/>
      <c r="C46" s="2244"/>
      <c r="D46" s="613"/>
      <c r="E46" s="9"/>
      <c r="F46" s="14"/>
      <c r="G46" s="9"/>
      <c r="H46" s="1413"/>
      <c r="I46" s="9"/>
      <c r="J46" s="14"/>
      <c r="K46" s="9"/>
      <c r="L46" s="613"/>
      <c r="M46" s="9"/>
      <c r="N46" s="14"/>
      <c r="O46" s="9"/>
      <c r="P46" s="3588"/>
      <c r="Q46" s="612"/>
      <c r="R46" s="613"/>
      <c r="S46" s="2268"/>
      <c r="T46" s="2268"/>
      <c r="U46" s="14"/>
      <c r="V46" s="613"/>
      <c r="W46" s="9"/>
      <c r="X46" s="1418"/>
      <c r="Y46" s="2268"/>
      <c r="Z46" s="2269"/>
      <c r="AA46" s="14"/>
      <c r="AB46" s="1413"/>
      <c r="AC46" s="22"/>
      <c r="AD46" s="1418"/>
      <c r="AE46" s="1418"/>
      <c r="AF46" s="2270"/>
      <c r="AG46" s="14"/>
      <c r="AI46" s="1422"/>
      <c r="AJ46" s="7"/>
      <c r="AK46" s="2233"/>
      <c r="AL46" s="2233"/>
    </row>
    <row r="47" spans="1:38" ht="16.399999999999999" customHeight="1">
      <c r="A47" s="2243" t="s">
        <v>45</v>
      </c>
      <c r="B47" s="2243"/>
      <c r="C47" s="2244"/>
      <c r="D47" s="612"/>
      <c r="E47" s="9"/>
      <c r="F47" s="22"/>
      <c r="G47" s="22"/>
      <c r="H47" s="617"/>
      <c r="I47" s="22"/>
      <c r="J47" s="22"/>
      <c r="K47" s="22"/>
      <c r="L47" s="617"/>
      <c r="M47" s="22"/>
      <c r="N47" s="22"/>
      <c r="O47" s="22"/>
      <c r="P47" s="3478"/>
      <c r="Q47" s="617"/>
      <c r="R47" s="1413"/>
      <c r="S47" s="2268"/>
      <c r="T47" s="2268"/>
      <c r="U47" s="14"/>
      <c r="V47" s="612"/>
      <c r="W47" s="9"/>
      <c r="X47" s="22"/>
      <c r="Y47" s="2268"/>
      <c r="Z47" s="2269"/>
      <c r="AA47" s="14"/>
      <c r="AB47" s="617"/>
      <c r="AC47" s="22"/>
      <c r="AD47" s="1418"/>
      <c r="AE47" s="1418"/>
      <c r="AF47" s="2270"/>
      <c r="AG47" s="9"/>
      <c r="AI47" s="1422"/>
      <c r="AJ47" s="7"/>
      <c r="AK47" s="2233"/>
      <c r="AL47" s="2233"/>
    </row>
    <row r="48" spans="1:38" ht="18" customHeight="1">
      <c r="A48" s="3668" t="s">
        <v>1385</v>
      </c>
      <c r="B48" s="2244"/>
      <c r="C48" s="2244"/>
      <c r="D48" s="1412">
        <v>0</v>
      </c>
      <c r="E48" s="9"/>
      <c r="F48" s="21">
        <v>0</v>
      </c>
      <c r="G48" s="22"/>
      <c r="H48" s="1412">
        <v>0</v>
      </c>
      <c r="I48" s="22"/>
      <c r="J48" s="21">
        <v>0</v>
      </c>
      <c r="K48" s="22"/>
      <c r="L48" s="1412">
        <v>0</v>
      </c>
      <c r="M48" s="1418"/>
      <c r="N48" s="21">
        <v>0</v>
      </c>
      <c r="O48" s="1418"/>
      <c r="P48" s="1412">
        <f>+'Exhibit I'!E92</f>
        <v>0</v>
      </c>
      <c r="Q48" s="1413"/>
      <c r="R48" s="1412">
        <f>'Exhibit I'!AF92</f>
        <v>0</v>
      </c>
      <c r="S48" s="2268"/>
      <c r="T48" s="2268"/>
      <c r="U48" s="14"/>
      <c r="V48" s="612">
        <f>ROUND(SUM(D48)+SUM(H48)+SUM(L48)+SUM(P48),1)</f>
        <v>0</v>
      </c>
      <c r="W48" s="17"/>
      <c r="X48" s="22">
        <f>ROUND(SUM(F48)+SUM(J48)+SUM(N48)+SUM(R48),1)</f>
        <v>0</v>
      </c>
      <c r="Y48" s="2268"/>
      <c r="Z48" s="2269"/>
      <c r="AA48" s="14"/>
      <c r="AB48" s="2033">
        <v>0</v>
      </c>
      <c r="AC48" s="21"/>
      <c r="AD48" s="3827">
        <f>'Exhibit I'!AI92</f>
        <v>0</v>
      </c>
      <c r="AE48" s="17"/>
      <c r="AF48" s="2294"/>
      <c r="AG48" s="14">
        <f>X48-AD48</f>
        <v>0</v>
      </c>
      <c r="AH48" s="2295"/>
      <c r="AI48" s="1419">
        <f>ROUND(IF(AD48=0,0,AG48/ABS(AD48)),3)</f>
        <v>0</v>
      </c>
      <c r="AJ48" s="2296"/>
      <c r="AK48" s="2233"/>
      <c r="AL48" s="2233"/>
    </row>
    <row r="49" spans="1:40" ht="18" customHeight="1">
      <c r="A49" s="2293" t="s">
        <v>46</v>
      </c>
      <c r="B49" s="2297" t="s">
        <v>1162</v>
      </c>
      <c r="C49" s="2293"/>
      <c r="D49" s="617">
        <f>+'Exhibit F'!D123+'Exhibit F'!D124+'Exhibit F'!D125+'Exhibit F'!D126</f>
        <v>4327.5</v>
      </c>
      <c r="E49" s="9"/>
      <c r="F49" s="22">
        <f>+'Exhibit F'!AC123+'Exhibit F'!AC124+'Exhibit F'!AC125+'Exhibit F'!AC126</f>
        <v>4327.5</v>
      </c>
      <c r="G49" s="22"/>
      <c r="H49" s="617">
        <f>'Exhibit G'!D113-31</f>
        <v>232.5</v>
      </c>
      <c r="I49" s="22"/>
      <c r="J49" s="22">
        <f>+'Exhibit G'!AD113</f>
        <v>232.5</v>
      </c>
      <c r="K49" s="1418"/>
      <c r="L49" s="1413">
        <f>+'Exhibit H'!B66</f>
        <v>295.89999999999998</v>
      </c>
      <c r="M49" s="1418"/>
      <c r="N49" s="22">
        <f>+'Exhibit H'!AA66</f>
        <v>295.89999999999998</v>
      </c>
      <c r="O49" s="1418"/>
      <c r="P49" s="1412">
        <f>'Exhibit I'!E93</f>
        <v>488.9</v>
      </c>
      <c r="Q49" s="1413"/>
      <c r="R49" s="1413">
        <f>+'Exhibit I'!AF93</f>
        <v>488.9</v>
      </c>
      <c r="S49" s="2298"/>
      <c r="T49" s="2298"/>
      <c r="U49" s="1418"/>
      <c r="V49" s="612">
        <f>ROUND(SUM(D49)+SUM(H49)+SUM(L49)+SUM(P49),1)</f>
        <v>5344.8</v>
      </c>
      <c r="W49" s="22" t="s">
        <v>14</v>
      </c>
      <c r="X49" s="22">
        <f>ROUND(SUM(F49)+SUM(J49)+SUM(N49)+SUM(R49),1)</f>
        <v>5344.8</v>
      </c>
      <c r="Y49" s="2298"/>
      <c r="Z49" s="2299"/>
      <c r="AA49" s="1418"/>
      <c r="AB49" s="2033">
        <v>1063.0999999999999</v>
      </c>
      <c r="AC49" s="22"/>
      <c r="AD49" s="1418">
        <f>'Exhibit F'!AF123+'Exhibit F'!AF124+'Exhibit F'!AF125+'Exhibit F'!AF126+'Exhibit G'!AG113+'Exhibit H'!AD66+'Exhibit I'!AI93</f>
        <v>1063.0999999999999</v>
      </c>
      <c r="AE49" s="1418"/>
      <c r="AF49" s="2270"/>
      <c r="AG49" s="14">
        <f>ROUND(SUM(X49-AD49),1)</f>
        <v>4281.7</v>
      </c>
      <c r="AH49" s="2295"/>
      <c r="AI49" s="1419">
        <f>ROUND(SUM((+X49-AD49)/ABS(AD49)),3)</f>
        <v>4.0279999999999996</v>
      </c>
      <c r="AJ49" s="7"/>
      <c r="AK49" s="2233"/>
      <c r="AL49" s="2233"/>
    </row>
    <row r="50" spans="1:40" ht="18" customHeight="1">
      <c r="A50" s="2293" t="s">
        <v>47</v>
      </c>
      <c r="B50" s="2297" t="s">
        <v>1162</v>
      </c>
      <c r="C50" s="2293"/>
      <c r="D50" s="1413">
        <f>+'Exhibit F'!D127+'Exhibit F'!D129+'Exhibit F'!D130+'Exhibit F'!D128</f>
        <v>-876.1</v>
      </c>
      <c r="E50" s="22"/>
      <c r="F50" s="22">
        <f>+'Exhibit F'!AC127+'Exhibit F'!AC129+'Exhibit F'!AC130+'Exhibit F'!AC128</f>
        <v>-876.1</v>
      </c>
      <c r="G50" s="22"/>
      <c r="H50" s="617">
        <f>'Exhibit G'!D114+31</f>
        <v>-134.9</v>
      </c>
      <c r="I50" s="22"/>
      <c r="J50" s="22">
        <f>+'Exhibit G'!AD114</f>
        <v>-134.9</v>
      </c>
      <c r="K50" s="22"/>
      <c r="L50" s="1413">
        <f>+'Exhibit H'!B67</f>
        <v>-4330.8</v>
      </c>
      <c r="M50" s="1418"/>
      <c r="N50" s="22">
        <f>+'Exhibit H'!AA67</f>
        <v>-4330.8</v>
      </c>
      <c r="O50" s="1418"/>
      <c r="P50" s="1412">
        <f>'Exhibit I'!E94</f>
        <v>-8.4</v>
      </c>
      <c r="Q50" s="617"/>
      <c r="R50" s="1413">
        <f>+'Exhibit I'!AF94</f>
        <v>-8.4</v>
      </c>
      <c r="S50" s="2298"/>
      <c r="T50" s="2298"/>
      <c r="U50" s="1418"/>
      <c r="V50" s="612">
        <f>ROUND(SUM(D50)+SUM(H50)+SUM(L50)+SUM(P50),1)</f>
        <v>-5350.2</v>
      </c>
      <c r="W50" s="2300" t="s">
        <v>14</v>
      </c>
      <c r="X50" s="22">
        <f>ROUND(SUM(F50)+SUM(J50)+SUM(N50)+SUM(R50),1)</f>
        <v>-5350.2</v>
      </c>
      <c r="Y50" s="2298"/>
      <c r="Z50" s="2299"/>
      <c r="AA50" s="1418"/>
      <c r="AB50" s="2033">
        <v>-1066.4999999999998</v>
      </c>
      <c r="AC50" s="22"/>
      <c r="AD50" s="1418">
        <f>'Exhibit F'!AF127+'Exhibit F'!AF128+'Exhibit F'!AF129+'Exhibit F'!AF130+'Exhibit G'!AG114+'Exhibit H'!AD67+'Exhibit I'!AI94</f>
        <v>-1066.4999999999998</v>
      </c>
      <c r="AE50" s="1418"/>
      <c r="AF50" s="2270"/>
      <c r="AG50" s="2301">
        <f>ROUND(SUM(X50-AD50),1)*-1</f>
        <v>4283.7</v>
      </c>
      <c r="AI50" s="1420">
        <f>-ROUND(SUM((+X50-AD50)/ABS(AD50)),3)</f>
        <v>4.0170000000000003</v>
      </c>
      <c r="AJ50" s="7"/>
      <c r="AK50" s="2233"/>
      <c r="AL50" s="2233"/>
    </row>
    <row r="51" spans="1:40" ht="18" customHeight="1">
      <c r="A51" s="2243" t="s">
        <v>48</v>
      </c>
      <c r="B51" s="2243"/>
      <c r="C51" s="2244"/>
      <c r="D51" s="12">
        <f>ROUND(SUM(D48:D50),1)</f>
        <v>3451.4</v>
      </c>
      <c r="E51" s="9"/>
      <c r="F51" s="1551">
        <f>ROUND(SUM(F48:F50),1)</f>
        <v>3451.4</v>
      </c>
      <c r="G51" s="23"/>
      <c r="H51" s="1551">
        <f>ROUND(SUM(H48:H50),1)</f>
        <v>97.6</v>
      </c>
      <c r="I51" s="23"/>
      <c r="J51" s="1551">
        <f>ROUND(SUM(J48:J50),1)</f>
        <v>97.6</v>
      </c>
      <c r="K51" s="23"/>
      <c r="L51" s="1551">
        <f>ROUND(SUM(L48:L50),1)</f>
        <v>-4034.9</v>
      </c>
      <c r="M51" s="23"/>
      <c r="N51" s="1551">
        <f>ROUND(SUM(N48:N50),1)</f>
        <v>-4034.9</v>
      </c>
      <c r="O51" s="23"/>
      <c r="P51" s="1551">
        <f>ROUND(SUM(P48:P50),1)</f>
        <v>480.5</v>
      </c>
      <c r="Q51" s="23"/>
      <c r="R51" s="1551">
        <f>ROUND(SUM(R48:R50),1)</f>
        <v>480.5</v>
      </c>
      <c r="S51" s="2274"/>
      <c r="T51" s="2274"/>
      <c r="U51" s="2275"/>
      <c r="V51" s="1494">
        <f>ROUND(SUM(V48+V49+V50),1)</f>
        <v>-5.4</v>
      </c>
      <c r="W51" s="1358"/>
      <c r="X51" s="2302">
        <f>ROUND(SUM(+X48+X49+X50),1)</f>
        <v>-5.4</v>
      </c>
      <c r="Y51" s="2274"/>
      <c r="Z51" s="2276"/>
      <c r="AA51" s="2275"/>
      <c r="AB51" s="2302">
        <f>ROUND(SUM(+AB48+AB49+AB50),1)</f>
        <v>-3.4</v>
      </c>
      <c r="AC51" s="23"/>
      <c r="AD51" s="2302">
        <f>ROUND(SUM(+AD48+AD49+AD50),1)</f>
        <v>-3.4</v>
      </c>
      <c r="AE51" s="2303"/>
      <c r="AF51" s="2277"/>
      <c r="AG51" s="11">
        <f>ROUND(SUM(+AG49-AG50+AG48),1)</f>
        <v>-2</v>
      </c>
      <c r="AH51" s="2278"/>
      <c r="AI51" s="1421">
        <f>-ROUND(SUM(AG51/AD51),3)</f>
        <v>-0.58799999999999997</v>
      </c>
      <c r="AJ51" s="2245"/>
      <c r="AK51" s="2233"/>
      <c r="AL51" s="2233"/>
    </row>
    <row r="52" spans="1:40" ht="16.399999999999999" customHeight="1">
      <c r="A52" s="2244"/>
      <c r="B52" s="2244"/>
      <c r="C52" s="2244"/>
      <c r="D52" s="613"/>
      <c r="E52" s="9"/>
      <c r="F52" s="1413" t="s">
        <v>14</v>
      </c>
      <c r="G52" s="22"/>
      <c r="H52" s="1413" t="s">
        <v>14</v>
      </c>
      <c r="I52" s="22"/>
      <c r="J52" s="1418"/>
      <c r="K52" s="22"/>
      <c r="L52" s="1413" t="s">
        <v>14</v>
      </c>
      <c r="M52" s="22"/>
      <c r="N52" s="1418"/>
      <c r="O52" s="22"/>
      <c r="P52" s="1413" t="s">
        <v>14</v>
      </c>
      <c r="Q52" s="617"/>
      <c r="R52" s="1413" t="s">
        <v>14</v>
      </c>
      <c r="S52" s="2268"/>
      <c r="T52" s="2268"/>
      <c r="U52" s="14"/>
      <c r="V52" s="613"/>
      <c r="W52" s="9"/>
      <c r="X52" s="1418"/>
      <c r="Y52" s="2268"/>
      <c r="Z52" s="2269"/>
      <c r="AA52" s="14"/>
      <c r="AB52" s="1413"/>
      <c r="AC52" s="22"/>
      <c r="AD52" s="1418"/>
      <c r="AE52" s="1418"/>
      <c r="AF52" s="2270"/>
      <c r="AG52" s="14"/>
      <c r="AI52" s="1422"/>
      <c r="AJ52" s="7"/>
      <c r="AK52" s="2233"/>
      <c r="AL52" s="2233"/>
    </row>
    <row r="53" spans="1:40" ht="18" customHeight="1">
      <c r="A53" s="2242" t="s">
        <v>43</v>
      </c>
      <c r="B53" s="2243"/>
      <c r="C53" s="2244"/>
      <c r="D53" s="612" t="s">
        <v>14</v>
      </c>
      <c r="E53" s="9"/>
      <c r="F53" s="612" t="s">
        <v>14</v>
      </c>
      <c r="G53" s="9"/>
      <c r="H53" s="612" t="s">
        <v>14</v>
      </c>
      <c r="I53" s="9"/>
      <c r="J53" s="9"/>
      <c r="K53" s="9"/>
      <c r="L53" s="612" t="s">
        <v>14</v>
      </c>
      <c r="M53" s="9"/>
      <c r="N53" s="9"/>
      <c r="O53" s="9"/>
      <c r="P53" s="612" t="s">
        <v>14</v>
      </c>
      <c r="Q53" s="612"/>
      <c r="R53" s="612"/>
      <c r="S53" s="2268"/>
      <c r="T53" s="2268"/>
      <c r="U53" s="14"/>
      <c r="V53" s="612" t="s">
        <v>14</v>
      </c>
      <c r="W53" s="9"/>
      <c r="X53" s="22"/>
      <c r="Y53" s="2268"/>
      <c r="Z53" s="2269"/>
      <c r="AA53" s="14"/>
      <c r="AB53" s="617"/>
      <c r="AC53" s="22"/>
      <c r="AD53" s="1418"/>
      <c r="AE53" s="1418"/>
      <c r="AF53" s="2270"/>
      <c r="AG53" s="9"/>
      <c r="AI53" s="1423"/>
      <c r="AJ53" s="7"/>
      <c r="AK53" s="2233"/>
      <c r="AL53" s="2233"/>
    </row>
    <row r="54" spans="1:40" ht="18" customHeight="1">
      <c r="A54" s="2242" t="s">
        <v>49</v>
      </c>
      <c r="B54" s="2242"/>
      <c r="C54" s="2293"/>
      <c r="D54" s="617"/>
      <c r="E54" s="22"/>
      <c r="F54" s="22"/>
      <c r="G54" s="22"/>
      <c r="H54" s="612"/>
      <c r="I54" s="9"/>
      <c r="J54" s="9"/>
      <c r="K54" s="9"/>
      <c r="L54" s="612"/>
      <c r="M54" s="9"/>
      <c r="N54" s="9"/>
      <c r="O54" s="9"/>
      <c r="P54" s="617"/>
      <c r="Q54" s="612"/>
      <c r="R54" s="612"/>
      <c r="S54" s="2268"/>
      <c r="T54" s="2268"/>
      <c r="U54" s="14"/>
      <c r="V54" s="612" t="s">
        <v>14</v>
      </c>
      <c r="W54" s="9"/>
      <c r="X54" s="22"/>
      <c r="Y54" s="2268"/>
      <c r="Z54" s="2269"/>
      <c r="AA54" s="14"/>
      <c r="AB54" s="617"/>
      <c r="AC54" s="22"/>
      <c r="AD54" s="1418"/>
      <c r="AE54" s="1418"/>
      <c r="AF54" s="2270"/>
      <c r="AG54" s="9"/>
      <c r="AI54" s="1422"/>
      <c r="AJ54" s="7"/>
      <c r="AK54" s="2233"/>
      <c r="AL54" s="2233"/>
    </row>
    <row r="55" spans="1:40" ht="18" customHeight="1">
      <c r="A55" s="2242" t="s">
        <v>50</v>
      </c>
      <c r="B55" s="2242"/>
      <c r="C55" s="2293"/>
      <c r="D55" s="23">
        <f>ROUND(SUM(D45+D51),1)</f>
        <v>3056.8</v>
      </c>
      <c r="E55" s="23"/>
      <c r="F55" s="23">
        <f>ROUND(SUM(F45)+SUM(F51),1)</f>
        <v>3056.8</v>
      </c>
      <c r="G55" s="23"/>
      <c r="H55" s="23">
        <f>ROUND(SUM(H45+H51),1)</f>
        <v>2960.6</v>
      </c>
      <c r="I55" s="23"/>
      <c r="J55" s="23">
        <f>ROUND(SUM(J45)+SUM(J51),1)</f>
        <v>2960.6</v>
      </c>
      <c r="K55" s="23"/>
      <c r="L55" s="23">
        <f>ROUND(SUM(L45+L51),1)</f>
        <v>141.5</v>
      </c>
      <c r="M55" s="23"/>
      <c r="N55" s="23">
        <f>ROUND(SUM(N45+N51),1)</f>
        <v>141.5</v>
      </c>
      <c r="O55" s="23"/>
      <c r="P55" s="23">
        <f>ROUND(SUM(P45+P51),1)</f>
        <v>22.2</v>
      </c>
      <c r="Q55" s="23"/>
      <c r="R55" s="23">
        <f>ROUND(SUM(R45+R51),1)</f>
        <v>22.2</v>
      </c>
      <c r="S55" s="2304"/>
      <c r="T55" s="2304"/>
      <c r="U55" s="1471"/>
      <c r="V55" s="23">
        <f>ROUND(SUM(V45)+SUM(V51),1)</f>
        <v>6181.1</v>
      </c>
      <c r="W55" s="23"/>
      <c r="X55" s="23">
        <f>ROUND(SUM(X45)+SUM(X51),1)</f>
        <v>6181.1</v>
      </c>
      <c r="Y55" s="2304"/>
      <c r="Z55" s="2305"/>
      <c r="AA55" s="1471"/>
      <c r="AB55" s="23">
        <f>ROUND(SUM(AB45)+SUM(AB51),1)</f>
        <v>6259.6</v>
      </c>
      <c r="AC55" s="23"/>
      <c r="AD55" s="23">
        <f>ROUND(SUM(AD45)+SUM(AD51),1)</f>
        <v>6259.6</v>
      </c>
      <c r="AE55" s="1471"/>
      <c r="AF55" s="2277"/>
      <c r="AG55" s="2275">
        <f>ROUND(SUM(+AG45+AG51),1)</f>
        <v>-78.5</v>
      </c>
      <c r="AH55" s="2278"/>
      <c r="AI55" s="1483">
        <f>ROUND(SUM((+X55-AD55)/ABS(AD55)),3)</f>
        <v>-1.2999999999999999E-2</v>
      </c>
      <c r="AJ55" s="2306"/>
      <c r="AK55" s="2307"/>
      <c r="AL55" s="2233"/>
    </row>
    <row r="56" spans="1:40" ht="16.399999999999999" customHeight="1">
      <c r="A56" s="2243"/>
      <c r="B56" s="2242"/>
      <c r="C56" s="2293"/>
      <c r="D56" s="617"/>
      <c r="E56" s="22"/>
      <c r="F56" s="1418"/>
      <c r="G56" s="22"/>
      <c r="H56" s="617"/>
      <c r="I56" s="22"/>
      <c r="J56" s="22"/>
      <c r="K56" s="22"/>
      <c r="L56" s="617"/>
      <c r="M56" s="22"/>
      <c r="N56" s="22"/>
      <c r="O56" s="22"/>
      <c r="P56" s="1413"/>
      <c r="Q56" s="617"/>
      <c r="R56" s="617"/>
      <c r="S56" s="2298"/>
      <c r="T56" s="2298"/>
      <c r="U56" s="1418"/>
      <c r="V56" s="617"/>
      <c r="W56" s="22"/>
      <c r="X56" s="22"/>
      <c r="Y56" s="2298"/>
      <c r="Z56" s="2299"/>
      <c r="AA56" s="1418"/>
      <c r="AB56" s="617"/>
      <c r="AC56" s="22"/>
      <c r="AD56" s="1418"/>
      <c r="AE56" s="1418"/>
      <c r="AF56" s="2270"/>
      <c r="AG56" s="9"/>
      <c r="AI56" s="1422"/>
      <c r="AJ56" s="7"/>
      <c r="AK56" s="2233"/>
      <c r="AL56" s="2233"/>
    </row>
    <row r="57" spans="1:40" s="2228" customFormat="1" ht="18" customHeight="1">
      <c r="A57" s="2309" t="s">
        <v>51</v>
      </c>
      <c r="B57" s="3093" t="s">
        <v>1547</v>
      </c>
      <c r="C57" s="2293"/>
      <c r="D57" s="1644">
        <f>+'Exhibit F'!D12</f>
        <v>9160.7999999999993</v>
      </c>
      <c r="E57" s="23"/>
      <c r="F57" s="1644">
        <f>'Exhibit F'!D12</f>
        <v>9160.7999999999993</v>
      </c>
      <c r="G57" s="23"/>
      <c r="H57" s="1644">
        <f>+'Exhibit G'!D13</f>
        <v>10669.3</v>
      </c>
      <c r="I57" s="23"/>
      <c r="J57" s="1644">
        <f>'Exhibit G'!D13</f>
        <v>10669.3</v>
      </c>
      <c r="K57" s="23"/>
      <c r="L57" s="1644">
        <f>'Exhibit H'!B12</f>
        <v>65</v>
      </c>
      <c r="M57" s="23"/>
      <c r="N57" s="1644">
        <f>'Exhibit H'!B12</f>
        <v>65</v>
      </c>
      <c r="O57" s="1471"/>
      <c r="P57" s="1644">
        <f>+'Exhibit I'!E15</f>
        <v>-1144</v>
      </c>
      <c r="Q57" s="1471"/>
      <c r="R57" s="1644">
        <f>'Exhibit I'!E15</f>
        <v>-1144</v>
      </c>
      <c r="S57" s="2304"/>
      <c r="T57" s="2304"/>
      <c r="U57" s="1471"/>
      <c r="V57" s="1644">
        <f>D57+H57+L57+P57</f>
        <v>18751.099999999999</v>
      </c>
      <c r="W57" s="23"/>
      <c r="X57" s="1644">
        <f>F57+J57+N57+R57</f>
        <v>18751.099999999999</v>
      </c>
      <c r="Y57" s="2304"/>
      <c r="Z57" s="2305"/>
      <c r="AA57" s="1471"/>
      <c r="AB57" s="3893">
        <v>14284.8</v>
      </c>
      <c r="AC57" s="23"/>
      <c r="AD57" s="1644">
        <f>'Exhibit F'!AF12+'Exhibit G'!AG13+'Exhibit H'!AD12+'Exhibit I'!AI15</f>
        <v>14284.800000000001</v>
      </c>
      <c r="AE57" s="1471"/>
      <c r="AF57" s="3069"/>
      <c r="AG57" s="1644">
        <f>ROUND(SUM(X57-AD57),1)</f>
        <v>4466.3</v>
      </c>
      <c r="AH57" s="3060"/>
      <c r="AI57" s="3070">
        <f>ROUND(SUM((+X57-AD57)/ABS(AD57)),3)</f>
        <v>0.313</v>
      </c>
      <c r="AJ57" s="2306"/>
      <c r="AK57" s="3067"/>
      <c r="AL57" s="3067"/>
    </row>
    <row r="58" spans="1:40" s="2228" customFormat="1" ht="16.399999999999999" customHeight="1">
      <c r="A58" s="2293"/>
      <c r="B58" s="2293"/>
      <c r="C58" s="2293"/>
      <c r="D58" s="1413"/>
      <c r="E58" s="22"/>
      <c r="F58" s="1418"/>
      <c r="G58" s="22"/>
      <c r="H58" s="1413"/>
      <c r="I58" s="22"/>
      <c r="J58" s="1418"/>
      <c r="K58" s="22"/>
      <c r="L58" s="1413"/>
      <c r="M58" s="22"/>
      <c r="N58" s="1418"/>
      <c r="O58" s="22"/>
      <c r="P58" s="1413"/>
      <c r="Q58" s="617"/>
      <c r="R58" s="1413"/>
      <c r="S58" s="2298"/>
      <c r="T58" s="2298"/>
      <c r="U58" s="1418"/>
      <c r="V58" s="1413"/>
      <c r="W58" s="22"/>
      <c r="X58" s="1418"/>
      <c r="Y58" s="2298"/>
      <c r="Z58" s="2299"/>
      <c r="AA58" s="1418"/>
      <c r="AB58" s="1413"/>
      <c r="AC58" s="22"/>
      <c r="AD58" s="1418"/>
      <c r="AE58" s="1418"/>
      <c r="AF58" s="3068"/>
      <c r="AG58" s="1418"/>
      <c r="AI58" s="3066"/>
      <c r="AJ58" s="2254"/>
      <c r="AK58" s="3067"/>
      <c r="AL58" s="3067"/>
    </row>
    <row r="59" spans="1:40" s="2228" customFormat="1" ht="18" customHeight="1" thickBot="1">
      <c r="A59" s="2309" t="s">
        <v>52</v>
      </c>
      <c r="B59" s="2310"/>
      <c r="C59" s="3058"/>
      <c r="D59" s="25">
        <f>ROUND(SUM(D55+D57),1)</f>
        <v>12217.6</v>
      </c>
      <c r="E59" s="2311"/>
      <c r="F59" s="25">
        <f>ROUND(SUM(F55+F57),1)</f>
        <v>12217.6</v>
      </c>
      <c r="G59" s="2311"/>
      <c r="H59" s="25">
        <f>ROUND(SUM(H55+H57),1)</f>
        <v>13629.9</v>
      </c>
      <c r="I59" s="2311"/>
      <c r="J59" s="25">
        <f>ROUND(SUM(J55)+SUM(J57),1)</f>
        <v>13629.9</v>
      </c>
      <c r="K59" s="2311"/>
      <c r="L59" s="25">
        <f>ROUND(SUM(L55+L57),1)</f>
        <v>206.5</v>
      </c>
      <c r="M59" s="2311"/>
      <c r="N59" s="25">
        <f>ROUND(SUM(N55+N57),1)</f>
        <v>206.5</v>
      </c>
      <c r="O59" s="2311"/>
      <c r="P59" s="25">
        <f>ROUND(SUM(P55+P57),1)</f>
        <v>-1121.8</v>
      </c>
      <c r="Q59" s="2311"/>
      <c r="R59" s="25">
        <f>ROUND(SUM(R55+R57),1)</f>
        <v>-1121.8</v>
      </c>
      <c r="S59" s="2312"/>
      <c r="T59" s="2312"/>
      <c r="U59" s="2313"/>
      <c r="V59" s="25">
        <f>ROUND(SUM(V55+V57),1)</f>
        <v>24932.2</v>
      </c>
      <c r="W59" s="2311"/>
      <c r="X59" s="25">
        <f>ROUND(SUM(X55+X57),1)</f>
        <v>24932.2</v>
      </c>
      <c r="Y59" s="2312"/>
      <c r="Z59" s="2314"/>
      <c r="AA59" s="2313"/>
      <c r="AB59" s="25">
        <f>ROUND(SUM(AB55+AB57),1)</f>
        <v>20544.400000000001</v>
      </c>
      <c r="AC59" s="2311"/>
      <c r="AD59" s="25">
        <f>ROUND(SUM(AD55+AD57),1)</f>
        <v>20544.400000000001</v>
      </c>
      <c r="AE59" s="2313"/>
      <c r="AF59" s="3059"/>
      <c r="AG59" s="25">
        <f>ROUND(SUM(AG55+AG57),1)</f>
        <v>4387.8</v>
      </c>
      <c r="AH59" s="3060"/>
      <c r="AI59" s="3061">
        <f>ROUND(SUM((+X59-AD59)/ABS(AD59)),3)</f>
        <v>0.214</v>
      </c>
      <c r="AJ59" s="2316"/>
      <c r="AK59" s="3062"/>
      <c r="AL59" s="3062"/>
      <c r="AM59" s="3063"/>
      <c r="AN59" s="3060"/>
    </row>
    <row r="60" spans="1:40" s="2228" customFormat="1" ht="16" thickTop="1">
      <c r="A60" s="3064"/>
      <c r="B60" s="3064"/>
      <c r="C60" s="3064"/>
      <c r="D60" s="2320"/>
      <c r="E60" s="2321"/>
      <c r="F60" s="2321"/>
      <c r="G60" s="2321"/>
      <c r="H60" s="2320"/>
      <c r="I60" s="2321"/>
      <c r="J60" s="2321"/>
      <c r="K60" s="2321"/>
      <c r="L60" s="2320"/>
      <c r="M60" s="2321"/>
      <c r="N60" s="2321"/>
      <c r="O60" s="2321"/>
      <c r="P60" s="2321"/>
      <c r="Q60" s="2321"/>
      <c r="R60" s="2321"/>
      <c r="S60" s="2321"/>
      <c r="T60" s="2321"/>
      <c r="U60" s="2321"/>
      <c r="V60" s="2320"/>
      <c r="W60" s="2321"/>
      <c r="X60" s="2321"/>
      <c r="Y60" s="2321"/>
      <c r="Z60" s="2321"/>
      <c r="AA60" s="2321"/>
      <c r="AB60" s="2320"/>
      <c r="AC60" s="3376"/>
      <c r="AD60" s="2321"/>
      <c r="AE60" s="2321"/>
      <c r="AF60" s="2321"/>
      <c r="AG60" s="2321"/>
      <c r="AI60" s="3065"/>
      <c r="AJ60" s="3066"/>
      <c r="AK60" s="3067"/>
      <c r="AL60" s="3067"/>
    </row>
    <row r="61" spans="1:40" ht="15.5">
      <c r="A61" s="2323"/>
      <c r="B61" s="3828"/>
      <c r="C61" s="3828"/>
      <c r="D61" s="2325"/>
      <c r="E61" s="2334"/>
      <c r="F61" s="2334" t="s">
        <v>14</v>
      </c>
      <c r="G61" s="2334"/>
      <c r="H61" s="2325"/>
      <c r="I61" s="2334"/>
      <c r="J61" s="2334" t="s">
        <v>14</v>
      </c>
      <c r="K61" s="2334"/>
      <c r="L61" s="2325"/>
      <c r="M61" s="2334"/>
      <c r="N61" s="2334" t="s">
        <v>14</v>
      </c>
      <c r="O61" s="2334" t="s">
        <v>14</v>
      </c>
      <c r="P61" s="3360"/>
      <c r="Q61" s="2334"/>
      <c r="R61" s="2334" t="s">
        <v>14</v>
      </c>
      <c r="S61" s="2334"/>
      <c r="T61" s="2334" t="s">
        <v>14</v>
      </c>
      <c r="U61" s="2334"/>
      <c r="V61" s="2325" t="s">
        <v>14</v>
      </c>
      <c r="W61" s="2334"/>
      <c r="X61" s="2334"/>
      <c r="Y61" s="2334"/>
      <c r="Z61" s="2334"/>
      <c r="AA61" s="2334"/>
      <c r="AB61" s="2325"/>
      <c r="AC61" s="2334"/>
      <c r="AI61" s="2322"/>
      <c r="AJ61" s="1422"/>
      <c r="AK61" s="2233"/>
      <c r="AL61" s="2233"/>
    </row>
    <row r="62" spans="1:40" ht="15.5">
      <c r="A62" s="2295"/>
      <c r="B62" s="2334"/>
      <c r="C62" s="2334"/>
      <c r="D62" s="2325" t="s">
        <v>14</v>
      </c>
      <c r="E62" s="2334"/>
      <c r="F62" s="2334"/>
      <c r="G62" s="2334"/>
      <c r="H62" s="2325"/>
      <c r="I62" s="2334"/>
      <c r="J62" s="2334"/>
      <c r="K62" s="2334"/>
      <c r="L62" s="2325"/>
      <c r="M62" s="2334"/>
      <c r="N62" s="2334"/>
      <c r="O62" s="2334"/>
      <c r="P62" s="2334"/>
      <c r="Q62" s="2334"/>
      <c r="R62" s="2334"/>
      <c r="S62" s="2334"/>
      <c r="T62" s="2334"/>
      <c r="U62" s="2334"/>
      <c r="V62" s="2325"/>
      <c r="W62" s="2334"/>
      <c r="X62" s="2334"/>
      <c r="Y62" s="2334"/>
      <c r="Z62" s="2334"/>
      <c r="AA62" s="2334"/>
      <c r="AB62" s="3417"/>
      <c r="AC62" s="2334"/>
      <c r="AD62" s="2326"/>
      <c r="AI62" s="2322"/>
      <c r="AJ62" s="1422"/>
      <c r="AK62" s="2233"/>
      <c r="AL62" s="2233"/>
    </row>
    <row r="63" spans="1:40" ht="15.5">
      <c r="A63" s="2295"/>
      <c r="B63" s="2334"/>
      <c r="C63" s="2334"/>
      <c r="D63" s="2325"/>
      <c r="E63" s="2334"/>
      <c r="F63" s="2334"/>
      <c r="G63" s="2334"/>
      <c r="H63" s="2325"/>
      <c r="I63" s="2334"/>
      <c r="J63" s="2334"/>
      <c r="K63" s="2334"/>
      <c r="L63" s="2325"/>
      <c r="M63" s="2334"/>
      <c r="N63" s="2334"/>
      <c r="O63" s="2334"/>
      <c r="P63" s="2334"/>
      <c r="Q63" s="2334"/>
      <c r="R63" s="2334"/>
      <c r="S63" s="2334"/>
      <c r="T63" s="2334"/>
      <c r="U63" s="2334"/>
      <c r="V63" s="2325"/>
      <c r="W63" s="2334"/>
      <c r="X63" s="2334"/>
      <c r="Y63" s="2334"/>
      <c r="Z63" s="2334"/>
      <c r="AA63" s="2334"/>
      <c r="AB63" s="3417"/>
      <c r="AC63" s="2334"/>
      <c r="AI63" s="2327"/>
      <c r="AJ63" s="1422"/>
      <c r="AK63" s="2233"/>
      <c r="AL63" s="2233"/>
    </row>
    <row r="64" spans="1:40" ht="15.5">
      <c r="A64" s="2328"/>
      <c r="B64" s="2334"/>
      <c r="C64" s="2334"/>
      <c r="D64" s="2325"/>
      <c r="E64" s="2334"/>
      <c r="F64" s="2334"/>
      <c r="G64" s="2334"/>
      <c r="H64" s="2325"/>
      <c r="I64" s="2334"/>
      <c r="J64" s="2334"/>
      <c r="K64" s="2334"/>
      <c r="L64" s="2325"/>
      <c r="M64" s="2334"/>
      <c r="N64" s="2334"/>
      <c r="O64" s="2334"/>
      <c r="P64" s="2334"/>
      <c r="Q64" s="2334"/>
      <c r="R64" s="2334"/>
      <c r="S64" s="2334"/>
      <c r="T64" s="2334"/>
      <c r="U64" s="2334"/>
      <c r="V64" s="2325"/>
      <c r="W64" s="2334"/>
      <c r="X64" s="2334"/>
      <c r="Y64" s="2334"/>
      <c r="Z64" s="2334"/>
      <c r="AA64" s="2334"/>
      <c r="AB64" s="2325"/>
      <c r="AC64" s="2334"/>
      <c r="AI64" s="2327"/>
      <c r="AJ64" s="2233"/>
      <c r="AK64" s="2233"/>
      <c r="AL64" s="2233"/>
    </row>
    <row r="65" spans="1:38" ht="15.5">
      <c r="A65" s="2328"/>
      <c r="B65" s="2334"/>
      <c r="C65" s="2334"/>
      <c r="D65" s="2325"/>
      <c r="E65" s="2334"/>
      <c r="F65" s="2334"/>
      <c r="G65" s="2334"/>
      <c r="H65" s="2325"/>
      <c r="I65" s="2334"/>
      <c r="J65" s="2334"/>
      <c r="K65" s="2334"/>
      <c r="L65" s="2325"/>
      <c r="M65" s="2334"/>
      <c r="N65" s="2334"/>
      <c r="O65" s="2334"/>
      <c r="P65" s="2334"/>
      <c r="Q65" s="2334"/>
      <c r="R65" s="2334"/>
      <c r="S65" s="2334"/>
      <c r="T65" s="2334"/>
      <c r="U65" s="2334"/>
      <c r="V65" s="2325"/>
      <c r="W65" s="2334"/>
      <c r="X65" s="2334"/>
      <c r="Y65" s="2334"/>
      <c r="Z65" s="2334"/>
      <c r="AA65" s="2334"/>
      <c r="AB65" s="3417"/>
      <c r="AC65" s="2334"/>
      <c r="AI65" s="2327"/>
      <c r="AJ65" s="2233" t="s">
        <v>14</v>
      </c>
      <c r="AK65" s="2233"/>
      <c r="AL65" s="2233"/>
    </row>
    <row r="66" spans="1:38" ht="15.5">
      <c r="A66" s="2329"/>
      <c r="B66" s="3829"/>
      <c r="C66" s="3360"/>
      <c r="D66" s="3830"/>
      <c r="E66" s="3831"/>
      <c r="F66" s="3831"/>
      <c r="G66" s="3831"/>
      <c r="H66" s="3830"/>
      <c r="I66" s="3831"/>
      <c r="J66" s="3831"/>
      <c r="K66" s="3831"/>
      <c r="L66" s="3830"/>
      <c r="M66" s="2334"/>
      <c r="N66" s="2334"/>
      <c r="O66" s="2334"/>
      <c r="P66" s="2334"/>
      <c r="Q66" s="2334"/>
      <c r="R66" s="2334"/>
      <c r="S66" s="2334"/>
      <c r="T66" s="2334"/>
      <c r="U66" s="2334"/>
      <c r="V66" s="2325"/>
      <c r="W66" s="2334"/>
      <c r="X66" s="2334"/>
      <c r="Y66" s="2334"/>
      <c r="Z66" s="2334"/>
      <c r="AA66" s="2334"/>
      <c r="AB66" s="2325"/>
      <c r="AC66" s="2334"/>
      <c r="AI66" s="2327"/>
      <c r="AJ66" s="2233"/>
      <c r="AK66" s="2233"/>
      <c r="AL66" s="2233"/>
    </row>
    <row r="67" spans="1:38" ht="15.5">
      <c r="A67" s="1422"/>
      <c r="B67" s="1422"/>
      <c r="C67" s="1422"/>
      <c r="D67" s="2333"/>
      <c r="E67" s="1422"/>
      <c r="F67" s="1422"/>
      <c r="G67" s="1422"/>
      <c r="H67" s="2333"/>
      <c r="I67" s="1422"/>
      <c r="J67" s="1422"/>
      <c r="K67" s="1422"/>
      <c r="L67" s="2333"/>
      <c r="M67" s="2295"/>
      <c r="N67" s="2295" t="s">
        <v>14</v>
      </c>
      <c r="O67" s="2295"/>
      <c r="P67" s="2295"/>
      <c r="Q67" s="2295"/>
      <c r="R67" s="2295"/>
      <c r="S67" s="2295"/>
      <c r="T67" s="2295"/>
      <c r="U67" s="2295"/>
      <c r="V67" s="2324"/>
      <c r="W67" s="2295"/>
      <c r="X67" s="2295"/>
      <c r="Y67" s="2295"/>
      <c r="Z67" s="2295"/>
      <c r="AA67" s="2295"/>
      <c r="AB67" s="2325"/>
      <c r="AC67" s="2334"/>
      <c r="AI67" s="2327"/>
      <c r="AJ67" s="2233"/>
      <c r="AK67" s="2233"/>
      <c r="AL67" s="2233"/>
    </row>
    <row r="68" spans="1:38" ht="15.5">
      <c r="A68" s="1422"/>
      <c r="B68" s="1422"/>
      <c r="C68" s="1422"/>
      <c r="D68" s="2333"/>
      <c r="E68" s="1422"/>
      <c r="F68" s="1422"/>
      <c r="G68" s="1422"/>
      <c r="H68" s="2333"/>
      <c r="I68" s="1422"/>
      <c r="J68" s="1422"/>
      <c r="K68" s="1422"/>
      <c r="L68" s="2333"/>
      <c r="M68" s="2295"/>
      <c r="N68" s="2295" t="s">
        <v>14</v>
      </c>
      <c r="O68" s="2295"/>
      <c r="P68" s="2295"/>
      <c r="Q68" s="2295"/>
      <c r="R68" s="2295"/>
      <c r="S68" s="2295"/>
      <c r="T68" s="2295"/>
      <c r="U68" s="2295"/>
      <c r="V68" s="2324"/>
      <c r="W68" s="2295"/>
      <c r="X68" s="2295"/>
      <c r="Y68" s="2295"/>
      <c r="Z68" s="2295"/>
      <c r="AA68" s="2295"/>
      <c r="AB68" s="2325"/>
      <c r="AC68" s="2334"/>
      <c r="AI68" s="2327"/>
      <c r="AJ68" s="2233"/>
      <c r="AK68" s="2233"/>
      <c r="AL68" s="2233"/>
    </row>
    <row r="69" spans="1:38" ht="15.5">
      <c r="A69" s="1422"/>
      <c r="B69" s="1422"/>
      <c r="C69" s="1422"/>
      <c r="D69" s="2333"/>
      <c r="E69" s="1422"/>
      <c r="F69" s="1422"/>
      <c r="G69" s="1422"/>
      <c r="H69" s="2333"/>
      <c r="I69" s="1422"/>
      <c r="J69" s="1422"/>
      <c r="K69" s="1422"/>
      <c r="L69" s="2333"/>
      <c r="M69" s="2295"/>
      <c r="N69" s="2295"/>
      <c r="O69" s="2295"/>
      <c r="P69" s="2295"/>
      <c r="Q69" s="2295"/>
      <c r="R69" s="2295"/>
      <c r="S69" s="2295"/>
      <c r="T69" s="2295"/>
      <c r="U69" s="2295"/>
      <c r="V69" s="2324"/>
      <c r="W69" s="2295"/>
      <c r="X69" s="2295"/>
      <c r="Y69" s="2295"/>
      <c r="Z69" s="2295"/>
      <c r="AA69" s="2295"/>
      <c r="AB69" s="2325"/>
      <c r="AI69" s="2327"/>
      <c r="AJ69" s="2233"/>
      <c r="AK69" s="2233"/>
      <c r="AL69" s="2233"/>
    </row>
    <row r="70" spans="1:38" ht="15.5">
      <c r="AI70" s="2327"/>
      <c r="AJ70" s="2233"/>
      <c r="AK70" s="2233"/>
      <c r="AL70" s="2233"/>
    </row>
    <row r="71" spans="1:38" ht="15.5">
      <c r="AI71" s="2327"/>
      <c r="AJ71" s="2233"/>
      <c r="AK71" s="2233"/>
      <c r="AL71" s="2233"/>
    </row>
    <row r="72" spans="1:38" ht="15.5">
      <c r="AI72" s="2327"/>
      <c r="AJ72" s="2233"/>
      <c r="AK72" s="2233"/>
      <c r="AL72" s="2233"/>
    </row>
    <row r="73" spans="1:38" ht="15.5">
      <c r="AI73" s="2327"/>
      <c r="AJ73" s="2233"/>
      <c r="AK73" s="2233"/>
      <c r="AL73" s="2233"/>
    </row>
    <row r="74" spans="1:38" ht="15.5">
      <c r="AI74" s="2327"/>
      <c r="AJ74" s="2233"/>
      <c r="AK74" s="2233"/>
      <c r="AL74" s="2233"/>
    </row>
    <row r="75" spans="1:38" ht="15.5">
      <c r="AI75" s="2327"/>
      <c r="AJ75" s="2233"/>
      <c r="AK75" s="2233"/>
      <c r="AL75" s="2233"/>
    </row>
    <row r="76" spans="1:38" ht="15.5">
      <c r="AI76" s="2327"/>
      <c r="AJ76" s="2233"/>
      <c r="AK76" s="2233"/>
      <c r="AL76" s="2233"/>
    </row>
    <row r="77" spans="1:38" ht="15.5">
      <c r="AI77" s="2327"/>
      <c r="AJ77" s="2233"/>
      <c r="AK77" s="2233"/>
      <c r="AL77" s="2233"/>
    </row>
    <row r="78" spans="1:38" ht="15.5">
      <c r="AI78" s="2327"/>
      <c r="AJ78" s="2233"/>
      <c r="AK78" s="2233"/>
      <c r="AL78" s="2233"/>
    </row>
    <row r="79" spans="1:38" ht="15.5">
      <c r="AI79" s="2327"/>
      <c r="AJ79" s="2233"/>
      <c r="AK79" s="2233"/>
      <c r="AL79" s="2233"/>
    </row>
    <row r="80" spans="1:38" ht="15.5">
      <c r="AI80" s="2327"/>
      <c r="AJ80" s="2233"/>
      <c r="AK80" s="2233"/>
      <c r="AL80" s="2233"/>
    </row>
    <row r="81" spans="35:38" ht="15.5">
      <c r="AI81" s="2327"/>
      <c r="AJ81" s="2233"/>
      <c r="AK81" s="2233"/>
      <c r="AL81" s="2233"/>
    </row>
    <row r="82" spans="35:38" ht="15.5">
      <c r="AI82" s="2327"/>
      <c r="AJ82" s="2233"/>
      <c r="AK82" s="2233"/>
      <c r="AL82" s="2233"/>
    </row>
    <row r="83" spans="35:38" ht="15.5">
      <c r="AI83" s="2327"/>
      <c r="AJ83" s="2233"/>
      <c r="AK83" s="2233"/>
      <c r="AL83" s="2233"/>
    </row>
    <row r="84" spans="35:38" ht="15.5">
      <c r="AI84" s="2327"/>
      <c r="AJ84" s="2233"/>
      <c r="AK84" s="2233"/>
      <c r="AL84" s="2233"/>
    </row>
    <row r="85" spans="35:38" ht="15.5">
      <c r="AI85" s="2327"/>
      <c r="AJ85" s="2233"/>
      <c r="AK85" s="2233"/>
      <c r="AL85" s="2233"/>
    </row>
    <row r="86" spans="35:38" ht="15.5">
      <c r="AI86" s="2327"/>
      <c r="AJ86" s="2233"/>
      <c r="AK86" s="2233"/>
      <c r="AL86" s="2233"/>
    </row>
    <row r="87" spans="35:38" ht="15.5">
      <c r="AI87" s="2327"/>
      <c r="AJ87" s="2233"/>
      <c r="AK87" s="2233"/>
      <c r="AL87" s="2233"/>
    </row>
    <row r="88" spans="35:38" ht="15.5">
      <c r="AI88" s="2327"/>
      <c r="AJ88" s="2233"/>
      <c r="AK88" s="2233"/>
      <c r="AL88" s="2233"/>
    </row>
    <row r="89" spans="35:38" ht="15.5">
      <c r="AI89" s="2327"/>
      <c r="AJ89" s="2233"/>
      <c r="AK89" s="2233"/>
      <c r="AL89" s="2233"/>
    </row>
    <row r="90" spans="35:38" ht="15.5">
      <c r="AI90" s="2327"/>
      <c r="AJ90" s="2233"/>
      <c r="AK90" s="2233"/>
      <c r="AL90" s="2233"/>
    </row>
    <row r="91" spans="35:38" ht="15.5">
      <c r="AI91" s="2327"/>
      <c r="AJ91" s="2233"/>
      <c r="AK91" s="2233"/>
      <c r="AL91" s="2233"/>
    </row>
    <row r="92" spans="35:38" ht="15.5">
      <c r="AI92" s="2327"/>
      <c r="AJ92" s="2233"/>
      <c r="AK92" s="2233"/>
      <c r="AL92" s="2233"/>
    </row>
    <row r="93" spans="35:38" ht="15.5">
      <c r="AI93" s="2327"/>
      <c r="AJ93" s="2233"/>
      <c r="AK93" s="2233"/>
      <c r="AL93" s="2233"/>
    </row>
    <row r="94" spans="35:38" ht="15.5">
      <c r="AI94" s="2327"/>
      <c r="AJ94" s="2233"/>
      <c r="AK94" s="2233"/>
      <c r="AL94" s="2233"/>
    </row>
    <row r="95" spans="35:38" ht="15.5">
      <c r="AI95" s="2327"/>
      <c r="AJ95" s="2233"/>
      <c r="AK95" s="2233"/>
      <c r="AL95" s="2233"/>
    </row>
    <row r="96" spans="35:38" ht="15.5">
      <c r="AI96" s="2327"/>
      <c r="AJ96" s="2233"/>
      <c r="AK96" s="2233"/>
      <c r="AL96" s="2233"/>
    </row>
    <row r="97" spans="35:38" ht="15.5">
      <c r="AI97" s="2327"/>
      <c r="AJ97" s="2233"/>
      <c r="AK97" s="2233"/>
      <c r="AL97" s="2233"/>
    </row>
    <row r="98" spans="35:38" ht="15.5">
      <c r="AI98" s="2327"/>
      <c r="AJ98" s="2233"/>
      <c r="AK98" s="2233"/>
      <c r="AL98" s="2233"/>
    </row>
    <row r="99" spans="35:38" ht="15.5">
      <c r="AI99" s="2327"/>
      <c r="AJ99" s="2233"/>
      <c r="AK99" s="2233"/>
      <c r="AL99" s="2233"/>
    </row>
    <row r="100" spans="35:38" ht="15.5">
      <c r="AI100" s="2327"/>
      <c r="AJ100" s="2233"/>
      <c r="AK100" s="2233"/>
      <c r="AL100" s="2233"/>
    </row>
    <row r="101" spans="35:38" ht="15.5">
      <c r="AI101" s="2327"/>
      <c r="AJ101" s="2233"/>
      <c r="AK101" s="2233"/>
      <c r="AL101" s="2233"/>
    </row>
    <row r="102" spans="35:38" ht="15.5">
      <c r="AI102" s="2327"/>
      <c r="AJ102" s="2233"/>
      <c r="AK102" s="2233"/>
      <c r="AL102" s="2233"/>
    </row>
    <row r="103" spans="35:38" ht="15.5">
      <c r="AI103" s="2327"/>
      <c r="AJ103" s="2233"/>
      <c r="AK103" s="2233"/>
      <c r="AL103" s="2233"/>
    </row>
    <row r="104" spans="35:38" ht="15.5">
      <c r="AI104" s="2327"/>
      <c r="AJ104" s="2233"/>
      <c r="AK104" s="2233"/>
      <c r="AL104" s="2233"/>
    </row>
    <row r="105" spans="35:38" ht="15.5">
      <c r="AI105" s="2327"/>
      <c r="AJ105" s="2233"/>
      <c r="AK105" s="2233"/>
      <c r="AL105" s="2233"/>
    </row>
    <row r="106" spans="35:38" ht="15.5">
      <c r="AI106" s="2327"/>
      <c r="AJ106" s="2233"/>
      <c r="AK106" s="2233"/>
      <c r="AL106" s="2233"/>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 I39:K39 I36:O36 I37:K37 I38:K38 I41:K41 I40 I49:K49 D39:F40 E36:F36 E37:F37 E38:F38 E50 E49 M14 M15 M17 M18:O18 M19:O19 M37:O37 M40:O40 M49:O49 M50:O50 Q17 Q48:R48 Q37:R37 Q38:R38 Q36:R36 Q30:R30 Q28:R28 Q27:R27 Q50 Q49:R49 Q41:R41 Q33:R33 Q32:R32 Q31:R31 Q29:R29 Q26:R26 Q25:R25 Q24:R24 Q19:R19 Q18:R18 Q16 Q15 O57 Q40:R40 Q14:R14 D58:F58 H58:R58 Q39:R39 R59 R55 R45 R42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I52:K52 M52:O52 I53:K53 M53:O53 AC59:AH59 W55:AH55 K40 D52:E52 E53 Q52 Q53:R53 S54:AI54 S53:U53 W53:AI53 K32:O32 Q21 Q22" unlockedFormula="1"/>
    <ignoredError sqref="B41:B48 B51:B57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70" workbookViewId="0"/>
  </sheetViews>
  <sheetFormatPr defaultColWidth="8.765625" defaultRowHeight="12.5"/>
  <cols>
    <col min="1" max="1" width="1.765625" style="247" customWidth="1"/>
    <col min="2" max="2" width="40.765625" style="247" customWidth="1"/>
    <col min="3" max="3" width="1.765625" style="247" customWidth="1"/>
    <col min="4" max="4" width="12.07421875" style="247" customWidth="1"/>
    <col min="5" max="5" width="1.765625" style="247" customWidth="1"/>
    <col min="6" max="6" width="12" style="247" customWidth="1"/>
    <col min="7" max="7" width="1.765625" style="247" customWidth="1"/>
    <col min="8" max="8" width="13.07421875" style="247" customWidth="1"/>
    <col min="9" max="9" width="1.765625" style="247" customWidth="1"/>
    <col min="10" max="10" width="13.07421875" style="247" customWidth="1"/>
    <col min="11" max="11" width="1.765625" style="247" customWidth="1"/>
    <col min="12" max="12" width="13.07421875" style="247" customWidth="1"/>
    <col min="13" max="13" width="1.765625" style="247" customWidth="1"/>
    <col min="14" max="14" width="14" style="247" customWidth="1"/>
    <col min="15" max="15" width="1.765625" style="247" customWidth="1"/>
    <col min="16" max="16" width="11.765625" style="247" customWidth="1"/>
    <col min="17" max="17" width="1.765625" style="247" customWidth="1"/>
    <col min="18" max="18" width="11.53515625" style="247" customWidth="1"/>
    <col min="19" max="19" width="1.765625" style="247" customWidth="1"/>
    <col min="20" max="20" width="12.07421875" style="247" customWidth="1"/>
    <col min="21" max="21" width="1.765625" style="247" customWidth="1"/>
    <col min="22" max="22" width="13" style="247" customWidth="1"/>
    <col min="23" max="23" width="1.765625" style="247" customWidth="1"/>
    <col min="24" max="24" width="12.07421875" style="247" customWidth="1"/>
    <col min="25" max="25" width="1.765625" style="247" customWidth="1"/>
    <col min="26" max="26" width="10.765625" style="247" bestFit="1" customWidth="1"/>
    <col min="27" max="27" width="1.07421875" style="247" customWidth="1"/>
    <col min="28" max="29" width="1.765625" style="247" customWidth="1"/>
    <col min="30" max="30" width="11.765625" style="881" customWidth="1"/>
    <col min="31" max="32" width="1.4609375" style="881" customWidth="1"/>
    <col min="33" max="33" width="12.765625" style="881" bestFit="1" customWidth="1"/>
    <col min="34" max="34" width="1.53515625" style="247" customWidth="1"/>
    <col min="35" max="35" width="0.765625" style="247" customWidth="1"/>
    <col min="36" max="36" width="14.765625" style="247" customWidth="1"/>
    <col min="37" max="37" width="0.765625" style="247" customWidth="1"/>
    <col min="38" max="38" width="12.07421875" style="247" customWidth="1"/>
    <col min="39" max="16384" width="8.765625" style="247"/>
  </cols>
  <sheetData>
    <row r="1" spans="1:40" ht="15.5">
      <c r="B1" s="640" t="s">
        <v>885</v>
      </c>
    </row>
    <row r="2" spans="1:40" ht="15.5">
      <c r="A2" s="246"/>
      <c r="M2" s="29"/>
      <c r="N2" s="29"/>
      <c r="O2" s="265"/>
    </row>
    <row r="3" spans="1:40" ht="20.25" customHeight="1">
      <c r="A3" s="246"/>
      <c r="B3" s="249" t="s">
        <v>0</v>
      </c>
      <c r="M3" s="29"/>
      <c r="N3" s="29"/>
      <c r="O3" s="265"/>
      <c r="AF3" s="3436"/>
      <c r="AG3" s="3437"/>
      <c r="AH3" s="288"/>
      <c r="AI3" s="288"/>
      <c r="AJ3" s="288"/>
      <c r="AK3" s="288"/>
      <c r="AL3" s="390" t="s">
        <v>167</v>
      </c>
    </row>
    <row r="4" spans="1:40" ht="18">
      <c r="A4" s="246"/>
      <c r="B4" s="249" t="s">
        <v>174</v>
      </c>
      <c r="L4" s="29"/>
      <c r="M4" s="29"/>
      <c r="O4" s="265"/>
    </row>
    <row r="5" spans="1:40" ht="18">
      <c r="A5" s="246"/>
      <c r="B5" s="320" t="s">
        <v>147</v>
      </c>
      <c r="L5" s="265"/>
      <c r="M5" s="265"/>
      <c r="O5" s="265"/>
      <c r="X5" s="289"/>
    </row>
    <row r="6" spans="1:40" ht="20">
      <c r="A6" s="246"/>
      <c r="B6" s="1526" t="str">
        <f>'Cashflow Governmental'!A6</f>
        <v xml:space="preserve">FISCAL YEAR 2021-2022   </v>
      </c>
      <c r="L6" s="265"/>
      <c r="M6" s="265"/>
      <c r="O6" s="265"/>
      <c r="AL6" s="269"/>
    </row>
    <row r="7" spans="1:40" ht="18">
      <c r="A7" s="246"/>
      <c r="B7" s="249" t="s">
        <v>1283</v>
      </c>
      <c r="AI7" s="150"/>
      <c r="AJ7" s="150"/>
      <c r="AK7" s="150"/>
      <c r="AL7" s="150"/>
    </row>
    <row r="8" spans="1:40" ht="13.5" customHeight="1">
      <c r="A8" s="246"/>
      <c r="D8" s="2132"/>
      <c r="L8" s="265"/>
      <c r="M8" s="265"/>
      <c r="N8" s="265"/>
      <c r="O8" s="265"/>
      <c r="AC8" s="150"/>
      <c r="AD8" s="3148"/>
      <c r="AE8" s="3148"/>
      <c r="AF8" s="1064"/>
      <c r="AG8" s="1064"/>
      <c r="AH8" s="150"/>
      <c r="AI8" s="265"/>
      <c r="AJ8" s="265"/>
      <c r="AK8" s="265"/>
      <c r="AL8" s="265"/>
    </row>
    <row r="9" spans="1:40" ht="20.25" customHeight="1">
      <c r="A9" s="246"/>
      <c r="M9" s="265"/>
      <c r="N9" s="265"/>
      <c r="O9" s="265"/>
      <c r="AC9" s="3935" t="str">
        <f>'Exhibit G'!AC9:AL9</f>
        <v>1 Month Ended April 30</v>
      </c>
      <c r="AD9" s="3935"/>
      <c r="AE9" s="3935"/>
      <c r="AF9" s="3935"/>
      <c r="AG9" s="3935"/>
      <c r="AH9" s="3935"/>
      <c r="AI9" s="3935"/>
      <c r="AJ9" s="3935"/>
      <c r="AK9" s="3935"/>
      <c r="AL9" s="3935"/>
    </row>
    <row r="10" spans="1:40" ht="15.5">
      <c r="A10" s="246"/>
      <c r="B10" s="30"/>
      <c r="C10" s="30"/>
      <c r="D10" s="740" t="str">
        <f>'Cashflow Governmental'!C13</f>
        <v>2021</v>
      </c>
      <c r="E10" s="29"/>
      <c r="F10" s="29"/>
      <c r="G10" s="29"/>
      <c r="H10" s="29"/>
      <c r="I10" s="29"/>
      <c r="J10" s="29"/>
      <c r="K10" s="29"/>
      <c r="L10" s="29"/>
      <c r="M10" s="29"/>
      <c r="N10" s="29"/>
      <c r="O10" s="29"/>
      <c r="P10" s="29"/>
      <c r="Q10" s="29"/>
      <c r="R10" s="29"/>
      <c r="S10" s="29"/>
      <c r="T10" s="29"/>
      <c r="U10" s="29"/>
      <c r="V10" s="740">
        <f>'Cashflow Governmental'!U13</f>
        <v>2022</v>
      </c>
      <c r="W10" s="29"/>
      <c r="X10" s="29"/>
      <c r="Y10" s="29"/>
      <c r="Z10" s="29"/>
      <c r="AA10" s="29"/>
      <c r="AB10" s="29"/>
      <c r="AC10" s="29"/>
      <c r="AD10" s="3149"/>
      <c r="AE10" s="3149"/>
      <c r="AF10" s="3149"/>
      <c r="AG10" s="3149"/>
      <c r="AH10" s="210"/>
      <c r="AI10" s="209"/>
      <c r="AJ10" s="744" t="s">
        <v>7</v>
      </c>
      <c r="AK10" s="744"/>
      <c r="AL10" s="744" t="s">
        <v>8</v>
      </c>
      <c r="AM10" s="747"/>
      <c r="AN10" s="747"/>
    </row>
    <row r="11" spans="1:40" ht="15.5">
      <c r="A11" s="246"/>
      <c r="B11" s="30"/>
      <c r="C11" s="30"/>
      <c r="D11" s="1051" t="s">
        <v>123</v>
      </c>
      <c r="E11" s="29"/>
      <c r="F11" s="1051" t="s">
        <v>124</v>
      </c>
      <c r="G11" s="29"/>
      <c r="H11" s="1051" t="s">
        <v>125</v>
      </c>
      <c r="I11" s="29"/>
      <c r="J11" s="1051" t="s">
        <v>126</v>
      </c>
      <c r="K11" s="29"/>
      <c r="L11" s="1051" t="s">
        <v>127</v>
      </c>
      <c r="M11" s="29"/>
      <c r="N11" s="1051" t="s">
        <v>142</v>
      </c>
      <c r="O11" s="29"/>
      <c r="P11" s="1051" t="s">
        <v>143</v>
      </c>
      <c r="Q11" s="29"/>
      <c r="R11" s="1051" t="s">
        <v>130</v>
      </c>
      <c r="S11" s="29"/>
      <c r="T11" s="1051" t="s">
        <v>131</v>
      </c>
      <c r="U11" s="29"/>
      <c r="V11" s="1051" t="s">
        <v>132</v>
      </c>
      <c r="W11" s="29"/>
      <c r="X11" s="1051" t="s">
        <v>133</v>
      </c>
      <c r="Y11" s="29"/>
      <c r="Z11" s="1051" t="s">
        <v>184</v>
      </c>
      <c r="AA11" s="748"/>
      <c r="AB11" s="29"/>
      <c r="AC11" s="29"/>
      <c r="AD11" s="3150">
        <f>'Cashflow Governmental'!AB14</f>
        <v>2021</v>
      </c>
      <c r="AE11" s="735"/>
      <c r="AF11" s="734" t="s">
        <v>14</v>
      </c>
      <c r="AG11" s="3150">
        <f>'Cashflow Governmental'!AE14</f>
        <v>2020</v>
      </c>
      <c r="AH11" s="730"/>
      <c r="AI11" s="209"/>
      <c r="AJ11" s="1057" t="s">
        <v>11</v>
      </c>
      <c r="AK11" s="743"/>
      <c r="AL11" s="1057" t="s">
        <v>12</v>
      </c>
      <c r="AM11" s="747"/>
      <c r="AN11" s="747" t="s">
        <v>14</v>
      </c>
    </row>
    <row r="12" spans="1:40" ht="5.25" customHeight="1">
      <c r="A12" s="246"/>
      <c r="B12" s="30"/>
      <c r="C12" s="30"/>
      <c r="D12" s="748"/>
      <c r="E12" s="29"/>
      <c r="F12" s="748"/>
      <c r="G12" s="29"/>
      <c r="H12" s="748"/>
      <c r="I12" s="29"/>
      <c r="J12" s="748"/>
      <c r="K12" s="29"/>
      <c r="L12" s="748"/>
      <c r="M12" s="29"/>
      <c r="N12" s="748"/>
      <c r="O12" s="29"/>
      <c r="P12" s="748"/>
      <c r="Q12" s="29"/>
      <c r="R12" s="748"/>
      <c r="S12" s="29"/>
      <c r="T12" s="748"/>
      <c r="U12" s="29"/>
      <c r="V12" s="748"/>
      <c r="W12" s="29"/>
      <c r="X12" s="748"/>
      <c r="Y12" s="29"/>
      <c r="Z12" s="748"/>
      <c r="AA12" s="748"/>
      <c r="AB12" s="29"/>
      <c r="AC12" s="29"/>
      <c r="AD12" s="3151"/>
      <c r="AE12" s="735"/>
      <c r="AF12" s="734"/>
      <c r="AG12" s="3151"/>
      <c r="AH12" s="730"/>
      <c r="AI12" s="209"/>
      <c r="AJ12" s="743"/>
      <c r="AK12" s="743"/>
      <c r="AL12" s="743"/>
      <c r="AM12" s="747"/>
      <c r="AN12" s="747"/>
    </row>
    <row r="13" spans="1:40" s="1056" customFormat="1" ht="15.5">
      <c r="A13" s="1054"/>
      <c r="B13" s="1843" t="s">
        <v>1172</v>
      </c>
      <c r="C13" s="37"/>
      <c r="D13" s="306">
        <v>5708.6</v>
      </c>
      <c r="E13" s="254"/>
      <c r="F13" s="1846"/>
      <c r="G13" s="254"/>
      <c r="H13" s="1846"/>
      <c r="I13" s="254"/>
      <c r="J13" s="1846"/>
      <c r="K13" s="254"/>
      <c r="L13" s="1846"/>
      <c r="M13" s="254"/>
      <c r="N13" s="1846"/>
      <c r="O13" s="254"/>
      <c r="P13" s="1846"/>
      <c r="Q13" s="254"/>
      <c r="R13" s="1846"/>
      <c r="S13" s="254"/>
      <c r="T13" s="1846"/>
      <c r="U13" s="254"/>
      <c r="V13" s="1846"/>
      <c r="W13" s="254"/>
      <c r="X13" s="1846"/>
      <c r="Y13" s="254"/>
      <c r="Z13" s="1846"/>
      <c r="AA13" s="748"/>
      <c r="AB13" s="254"/>
      <c r="AC13" s="2130"/>
      <c r="AD13" s="3152">
        <f>D13</f>
        <v>5708.6</v>
      </c>
      <c r="AE13" s="3151"/>
      <c r="AF13" s="3155"/>
      <c r="AG13" s="139">
        <v>5400.7000000000007</v>
      </c>
      <c r="AH13" s="730"/>
      <c r="AI13" s="271"/>
      <c r="AJ13" s="1844">
        <f>ROUND(SUM(+AD13-AG13),1)</f>
        <v>307.89999999999998</v>
      </c>
      <c r="AK13" s="112"/>
      <c r="AL13" s="1847">
        <f>ROUND(IF(AG13=0,1,AJ13/ABS(AG13)),3)</f>
        <v>5.7000000000000002E-2</v>
      </c>
      <c r="AM13" s="1055"/>
      <c r="AN13" s="1055" t="s">
        <v>14</v>
      </c>
    </row>
    <row r="14" spans="1:40" s="1056" customFormat="1" ht="15.5">
      <c r="A14" s="1054"/>
      <c r="B14" s="1843"/>
      <c r="C14" s="37"/>
      <c r="D14" s="748"/>
      <c r="E14" s="254"/>
      <c r="F14" s="748"/>
      <c r="G14" s="254"/>
      <c r="H14" s="748"/>
      <c r="I14" s="254"/>
      <c r="J14" s="748"/>
      <c r="K14" s="254"/>
      <c r="L14" s="748"/>
      <c r="M14" s="254"/>
      <c r="N14" s="748"/>
      <c r="O14" s="254"/>
      <c r="P14" s="748"/>
      <c r="Q14" s="254"/>
      <c r="R14" s="748"/>
      <c r="S14" s="254"/>
      <c r="T14" s="748"/>
      <c r="U14" s="254"/>
      <c r="V14" s="748"/>
      <c r="W14" s="254"/>
      <c r="X14" s="748"/>
      <c r="Y14" s="254"/>
      <c r="Z14" s="748"/>
      <c r="AA14" s="748"/>
      <c r="AB14" s="254"/>
      <c r="AC14" s="2130"/>
      <c r="AD14" s="3151"/>
      <c r="AE14" s="3151"/>
      <c r="AF14" s="3155"/>
      <c r="AG14" s="3151"/>
      <c r="AH14" s="730"/>
      <c r="AI14" s="271"/>
      <c r="AJ14" s="743"/>
      <c r="AK14" s="743"/>
      <c r="AL14" s="743"/>
      <c r="AM14" s="1055"/>
      <c r="AN14" s="1055"/>
    </row>
    <row r="15" spans="1:40"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3"/>
      <c r="AD15" s="1083"/>
      <c r="AE15" s="106"/>
      <c r="AF15" s="3156"/>
      <c r="AG15" s="106"/>
      <c r="AH15" s="37"/>
      <c r="AI15" s="271"/>
      <c r="AJ15" s="30"/>
      <c r="AK15" s="30"/>
      <c r="AL15" s="30"/>
    </row>
    <row r="16" spans="1:40" ht="15" customHeight="1">
      <c r="A16" s="150"/>
      <c r="B16" s="261" t="s">
        <v>997</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3"/>
      <c r="AE16" s="106"/>
      <c r="AF16" s="3157"/>
      <c r="AG16" s="106"/>
      <c r="AH16" s="274"/>
      <c r="AI16" s="37"/>
      <c r="AJ16" s="30"/>
      <c r="AK16" s="30"/>
      <c r="AL16" s="30"/>
    </row>
    <row r="17" spans="1:38" s="1819" customFormat="1" ht="15" customHeight="1">
      <c r="A17" s="1816"/>
      <c r="B17" s="1194" t="s">
        <v>1000</v>
      </c>
      <c r="C17" s="105"/>
      <c r="D17" s="890">
        <f>$AD17</f>
        <v>0</v>
      </c>
      <c r="E17" s="1523"/>
      <c r="F17" s="890"/>
      <c r="G17" s="1523"/>
      <c r="H17" s="890"/>
      <c r="I17" s="1523"/>
      <c r="J17" s="890"/>
      <c r="K17" s="1529"/>
      <c r="L17" s="890"/>
      <c r="M17" s="1788"/>
      <c r="N17" s="890"/>
      <c r="O17" s="1788"/>
      <c r="P17" s="890"/>
      <c r="Q17" s="1979"/>
      <c r="R17" s="890"/>
      <c r="S17" s="1979"/>
      <c r="T17" s="1781"/>
      <c r="U17" s="1979"/>
      <c r="V17" s="1781"/>
      <c r="W17" s="1979"/>
      <c r="X17" s="1781"/>
      <c r="Y17" s="1979"/>
      <c r="Z17" s="1781"/>
      <c r="AA17" s="1980"/>
      <c r="AB17" s="2018"/>
      <c r="AC17" s="2019"/>
      <c r="AD17" s="1781">
        <v>0</v>
      </c>
      <c r="AE17" s="2020"/>
      <c r="AF17" s="3158"/>
      <c r="AG17" s="1781">
        <v>0</v>
      </c>
      <c r="AH17" s="1817"/>
      <c r="AI17" s="1009"/>
      <c r="AJ17" s="889">
        <f>ROUND(SUM(+AD17-AG17),1)</f>
        <v>0</v>
      </c>
      <c r="AK17" s="889"/>
      <c r="AL17" s="1810">
        <f>ROUND(IF(AG17=0,0,AJ17/ABS(AG17)),3)</f>
        <v>0</v>
      </c>
    </row>
    <row r="18" spans="1:38" s="1819" customFormat="1" ht="6" customHeight="1">
      <c r="A18" s="1816"/>
      <c r="B18" s="1194"/>
      <c r="C18" s="105"/>
      <c r="D18" s="890" t="s">
        <v>14</v>
      </c>
      <c r="E18" s="94"/>
      <c r="F18" s="890"/>
      <c r="G18" s="94"/>
      <c r="H18" s="890"/>
      <c r="I18" s="94"/>
      <c r="J18" s="890"/>
      <c r="K18" s="135"/>
      <c r="L18" s="890"/>
      <c r="M18" s="135"/>
      <c r="N18" s="890"/>
      <c r="O18" s="135"/>
      <c r="P18" s="1781"/>
      <c r="Q18" s="2021"/>
      <c r="R18" s="1781"/>
      <c r="S18" s="2021"/>
      <c r="T18" s="1781"/>
      <c r="U18" s="2021"/>
      <c r="V18" s="1781"/>
      <c r="W18" s="2021"/>
      <c r="X18" s="1781"/>
      <c r="Y18" s="2021"/>
      <c r="Z18" s="1781"/>
      <c r="AA18" s="2022"/>
      <c r="AB18" s="2021"/>
      <c r="AC18" s="2023"/>
      <c r="AD18" s="2021"/>
      <c r="AE18" s="2020"/>
      <c r="AF18" s="3159"/>
      <c r="AG18" s="2021"/>
      <c r="AH18" s="1817"/>
      <c r="AI18" s="1009"/>
      <c r="AJ18" s="135"/>
      <c r="AK18" s="112"/>
      <c r="AL18" s="1818"/>
    </row>
    <row r="19" spans="1:38" s="881" customFormat="1" ht="15" customHeight="1">
      <c r="A19" s="1064"/>
      <c r="B19" s="1194" t="s">
        <v>1059</v>
      </c>
      <c r="C19" s="107"/>
      <c r="D19" s="890" t="s">
        <v>14</v>
      </c>
      <c r="E19" s="1523"/>
      <c r="F19" s="890"/>
      <c r="G19" s="1523"/>
      <c r="H19" s="890"/>
      <c r="I19" s="1523"/>
      <c r="J19" s="890"/>
      <c r="K19" s="118"/>
      <c r="L19" s="890"/>
      <c r="M19" s="118"/>
      <c r="N19" s="890"/>
      <c r="O19" s="118"/>
      <c r="P19" s="1781"/>
      <c r="Q19" s="1987"/>
      <c r="R19" s="1781"/>
      <c r="S19" s="1987"/>
      <c r="T19" s="1781"/>
      <c r="U19" s="1987"/>
      <c r="V19" s="1781"/>
      <c r="W19" s="1987"/>
      <c r="X19" s="1781"/>
      <c r="Y19" s="1987"/>
      <c r="Z19" s="1781"/>
      <c r="AA19" s="1987"/>
      <c r="AB19" s="1987"/>
      <c r="AC19" s="1989"/>
      <c r="AD19" s="1987"/>
      <c r="AE19" s="1987"/>
      <c r="AF19" s="3160"/>
      <c r="AG19" s="1987"/>
      <c r="AH19" s="1067"/>
      <c r="AI19" s="67"/>
      <c r="AJ19" s="889"/>
      <c r="AK19" s="882"/>
      <c r="AL19" s="1820"/>
    </row>
    <row r="20" spans="1:38" s="881" customFormat="1" ht="15" customHeight="1">
      <c r="A20" s="1064"/>
      <c r="B20" s="1071" t="s">
        <v>1012</v>
      </c>
      <c r="C20" s="107"/>
      <c r="D20" s="890">
        <f t="shared" ref="D20:D27" si="0">$AD20</f>
        <v>109.2</v>
      </c>
      <c r="E20" s="1831"/>
      <c r="F20" s="890"/>
      <c r="G20" s="1831"/>
      <c r="H20" s="890"/>
      <c r="I20" s="1831"/>
      <c r="J20" s="890"/>
      <c r="K20" s="1529"/>
      <c r="L20" s="890"/>
      <c r="M20" s="1529"/>
      <c r="N20" s="890"/>
      <c r="O20" s="1529"/>
      <c r="P20" s="1781"/>
      <c r="Q20" s="1990"/>
      <c r="R20" s="1781"/>
      <c r="S20" s="1990"/>
      <c r="T20" s="1781"/>
      <c r="U20" s="1990"/>
      <c r="V20" s="1781"/>
      <c r="W20" s="1990"/>
      <c r="X20" s="1781"/>
      <c r="Y20" s="1990"/>
      <c r="Z20" s="1781"/>
      <c r="AA20" s="1991"/>
      <c r="AB20" s="1992"/>
      <c r="AC20" s="1994"/>
      <c r="AD20" s="1781">
        <v>109.2</v>
      </c>
      <c r="AE20" s="2024"/>
      <c r="AF20" s="3161"/>
      <c r="AG20" s="1781">
        <v>80.3</v>
      </c>
      <c r="AH20" s="1067"/>
      <c r="AI20" s="67"/>
      <c r="AJ20" s="889">
        <f t="shared" ref="AJ20:AJ27" si="1">ROUND(SUM(+AD20-AG20),1)</f>
        <v>28.9</v>
      </c>
      <c r="AK20" s="882"/>
      <c r="AL20" s="1814">
        <f t="shared" ref="AL20:AL28" si="2">ROUND(IF(AG20=0,0,AJ20/ABS(AG20)),3)</f>
        <v>0.36</v>
      </c>
    </row>
    <row r="21" spans="1:38" s="881" customFormat="1" ht="15" customHeight="1">
      <c r="A21" s="1064"/>
      <c r="B21" s="1071" t="s">
        <v>1013</v>
      </c>
      <c r="C21" s="107"/>
      <c r="D21" s="890">
        <f t="shared" si="0"/>
        <v>-0.2</v>
      </c>
      <c r="E21" s="1831"/>
      <c r="F21" s="890"/>
      <c r="G21" s="1831"/>
      <c r="H21" s="890"/>
      <c r="I21" s="1831"/>
      <c r="J21" s="890"/>
      <c r="K21" s="1529"/>
      <c r="L21" s="890"/>
      <c r="M21" s="1529"/>
      <c r="N21" s="890"/>
      <c r="O21" s="1529"/>
      <c r="P21" s="1781"/>
      <c r="Q21" s="1990"/>
      <c r="R21" s="1781"/>
      <c r="S21" s="1990"/>
      <c r="T21" s="1781"/>
      <c r="U21" s="1990"/>
      <c r="V21" s="1781"/>
      <c r="W21" s="1990"/>
      <c r="X21" s="1781"/>
      <c r="Y21" s="1990"/>
      <c r="Z21" s="1781"/>
      <c r="AA21" s="1991"/>
      <c r="AB21" s="1992"/>
      <c r="AC21" s="1994"/>
      <c r="AD21" s="1781">
        <v>-0.2</v>
      </c>
      <c r="AE21" s="2024"/>
      <c r="AF21" s="3161"/>
      <c r="AG21" s="1781">
        <v>-0.1</v>
      </c>
      <c r="AH21" s="1067"/>
      <c r="AI21" s="67"/>
      <c r="AJ21" s="889">
        <f t="shared" si="1"/>
        <v>-0.1</v>
      </c>
      <c r="AK21" s="882"/>
      <c r="AL21" s="1810">
        <f>ROUND(IF(AG21=0,1,AJ21/ABS(AG21)),3)</f>
        <v>-1</v>
      </c>
    </row>
    <row r="22" spans="1:38" s="881" customFormat="1" ht="15" customHeight="1">
      <c r="A22" s="1064"/>
      <c r="B22" s="1071" t="s">
        <v>1014</v>
      </c>
      <c r="C22" s="107"/>
      <c r="D22" s="890">
        <f t="shared" si="0"/>
        <v>69.7</v>
      </c>
      <c r="E22" s="1831"/>
      <c r="F22" s="890"/>
      <c r="G22" s="1831"/>
      <c r="H22" s="890"/>
      <c r="I22" s="1831"/>
      <c r="J22" s="890"/>
      <c r="K22" s="1529"/>
      <c r="L22" s="890"/>
      <c r="M22" s="1529"/>
      <c r="N22" s="890"/>
      <c r="O22" s="1529"/>
      <c r="P22" s="1781"/>
      <c r="Q22" s="1990"/>
      <c r="R22" s="1781"/>
      <c r="S22" s="1990"/>
      <c r="T22" s="1781"/>
      <c r="U22" s="1990"/>
      <c r="V22" s="1781"/>
      <c r="W22" s="1990"/>
      <c r="X22" s="1781"/>
      <c r="Y22" s="1990"/>
      <c r="Z22" s="1781"/>
      <c r="AA22" s="1991"/>
      <c r="AB22" s="1992"/>
      <c r="AC22" s="1994"/>
      <c r="AD22" s="1781">
        <v>69.7</v>
      </c>
      <c r="AE22" s="2024"/>
      <c r="AF22" s="3161"/>
      <c r="AG22" s="1781">
        <v>68.8</v>
      </c>
      <c r="AH22" s="1067"/>
      <c r="AI22" s="67"/>
      <c r="AJ22" s="889">
        <f t="shared" si="1"/>
        <v>0.9</v>
      </c>
      <c r="AK22" s="882"/>
      <c r="AL22" s="1814">
        <f t="shared" si="2"/>
        <v>1.2999999999999999E-2</v>
      </c>
    </row>
    <row r="23" spans="1:38" s="881" customFormat="1" ht="15" customHeight="1">
      <c r="A23" s="1064"/>
      <c r="B23" s="1787" t="s">
        <v>1156</v>
      </c>
      <c r="C23" s="107"/>
      <c r="D23" s="890">
        <f t="shared" si="0"/>
        <v>1.5</v>
      </c>
      <c r="E23" s="1831"/>
      <c r="F23" s="890"/>
      <c r="G23" s="1831"/>
      <c r="H23" s="890"/>
      <c r="I23" s="1831"/>
      <c r="J23" s="890"/>
      <c r="K23" s="1529"/>
      <c r="L23" s="890"/>
      <c r="M23" s="1529"/>
      <c r="N23" s="890"/>
      <c r="O23" s="1529"/>
      <c r="P23" s="1781"/>
      <c r="Q23" s="1990"/>
      <c r="R23" s="1781"/>
      <c r="S23" s="1990"/>
      <c r="T23" s="1781"/>
      <c r="U23" s="1990"/>
      <c r="V23" s="1781"/>
      <c r="W23" s="1990"/>
      <c r="X23" s="1781"/>
      <c r="Y23" s="1990"/>
      <c r="Z23" s="1781"/>
      <c r="AA23" s="1991"/>
      <c r="AB23" s="1992"/>
      <c r="AC23" s="1994"/>
      <c r="AD23" s="1781">
        <v>1.5</v>
      </c>
      <c r="AE23" s="2024"/>
      <c r="AF23" s="3161"/>
      <c r="AG23" s="1781">
        <v>0.5</v>
      </c>
      <c r="AH23" s="1067"/>
      <c r="AI23" s="67"/>
      <c r="AJ23" s="889">
        <f t="shared" si="1"/>
        <v>1</v>
      </c>
      <c r="AK23" s="882"/>
      <c r="AL23" s="1716">
        <f>ROUND(IF(AG23=0,1,AJ23/ABS(AG23)),3)</f>
        <v>2</v>
      </c>
    </row>
    <row r="24" spans="1:38" s="881" customFormat="1" ht="15" customHeight="1">
      <c r="A24" s="1064"/>
      <c r="B24" s="1071" t="s">
        <v>1015</v>
      </c>
      <c r="C24" s="107"/>
      <c r="D24" s="890">
        <f t="shared" si="0"/>
        <v>7.2</v>
      </c>
      <c r="E24" s="1831"/>
      <c r="F24" s="890"/>
      <c r="G24" s="1831"/>
      <c r="H24" s="890"/>
      <c r="I24" s="1831"/>
      <c r="J24" s="890"/>
      <c r="K24" s="1529"/>
      <c r="L24" s="890"/>
      <c r="M24" s="1529"/>
      <c r="N24" s="890"/>
      <c r="O24" s="1529"/>
      <c r="P24" s="1781"/>
      <c r="Q24" s="1990"/>
      <c r="R24" s="1781"/>
      <c r="S24" s="1990"/>
      <c r="T24" s="1781"/>
      <c r="U24" s="1990"/>
      <c r="V24" s="1781"/>
      <c r="W24" s="1990"/>
      <c r="X24" s="1781"/>
      <c r="Y24" s="1990"/>
      <c r="Z24" s="1781"/>
      <c r="AA24" s="1991"/>
      <c r="AB24" s="1992"/>
      <c r="AC24" s="1994"/>
      <c r="AD24" s="1781">
        <v>7.2</v>
      </c>
      <c r="AE24" s="2024"/>
      <c r="AF24" s="3161"/>
      <c r="AG24" s="1781">
        <v>6.5</v>
      </c>
      <c r="AH24" s="1067"/>
      <c r="AI24" s="67"/>
      <c r="AJ24" s="889">
        <f t="shared" si="1"/>
        <v>0.7</v>
      </c>
      <c r="AK24" s="882"/>
      <c r="AL24" s="1814">
        <f t="shared" si="2"/>
        <v>0.108</v>
      </c>
    </row>
    <row r="25" spans="1:38" s="881" customFormat="1" ht="15" customHeight="1">
      <c r="A25" s="1064"/>
      <c r="B25" s="1071" t="s">
        <v>1016</v>
      </c>
      <c r="C25" s="107"/>
      <c r="D25" s="890">
        <f t="shared" si="0"/>
        <v>0</v>
      </c>
      <c r="E25" s="1831"/>
      <c r="F25" s="890"/>
      <c r="G25" s="1831"/>
      <c r="H25" s="890"/>
      <c r="I25" s="1831"/>
      <c r="J25" s="890"/>
      <c r="K25" s="1529"/>
      <c r="L25" s="890"/>
      <c r="M25" s="1529"/>
      <c r="N25" s="890"/>
      <c r="O25" s="1529"/>
      <c r="P25" s="1781"/>
      <c r="Q25" s="1990"/>
      <c r="R25" s="1781"/>
      <c r="S25" s="1990"/>
      <c r="T25" s="1781"/>
      <c r="U25" s="1990"/>
      <c r="V25" s="1781"/>
      <c r="W25" s="1990"/>
      <c r="X25" s="1781"/>
      <c r="Y25" s="1990"/>
      <c r="Z25" s="1781"/>
      <c r="AA25" s="1991"/>
      <c r="AB25" s="1992"/>
      <c r="AC25" s="1994"/>
      <c r="AD25" s="1781">
        <v>0</v>
      </c>
      <c r="AE25" s="2024"/>
      <c r="AF25" s="3161"/>
      <c r="AG25" s="1781">
        <v>0</v>
      </c>
      <c r="AH25" s="1067"/>
      <c r="AI25" s="67"/>
      <c r="AJ25" s="889">
        <f t="shared" si="1"/>
        <v>0</v>
      </c>
      <c r="AK25" s="882"/>
      <c r="AL25" s="1814">
        <f t="shared" si="2"/>
        <v>0</v>
      </c>
    </row>
    <row r="26" spans="1:38" s="881" customFormat="1" ht="15" customHeight="1">
      <c r="A26" s="1064"/>
      <c r="B26" s="1071" t="s">
        <v>1017</v>
      </c>
      <c r="C26" s="107"/>
      <c r="D26" s="890">
        <f t="shared" si="0"/>
        <v>0.1</v>
      </c>
      <c r="E26" s="1831"/>
      <c r="F26" s="890"/>
      <c r="G26" s="1831"/>
      <c r="H26" s="890"/>
      <c r="I26" s="1831"/>
      <c r="J26" s="890"/>
      <c r="K26" s="1529"/>
      <c r="L26" s="890"/>
      <c r="M26" s="1529"/>
      <c r="N26" s="890"/>
      <c r="O26" s="1529"/>
      <c r="P26" s="1781"/>
      <c r="Q26" s="1990"/>
      <c r="R26" s="1781"/>
      <c r="S26" s="1990"/>
      <c r="T26" s="1781"/>
      <c r="U26" s="1990"/>
      <c r="V26" s="1781"/>
      <c r="W26" s="1990"/>
      <c r="X26" s="1781"/>
      <c r="Y26" s="1990"/>
      <c r="Z26" s="1781"/>
      <c r="AA26" s="1991"/>
      <c r="AB26" s="1992"/>
      <c r="AC26" s="1994"/>
      <c r="AD26" s="1781">
        <v>0.1</v>
      </c>
      <c r="AE26" s="2024"/>
      <c r="AF26" s="3161"/>
      <c r="AG26" s="1781">
        <v>0</v>
      </c>
      <c r="AH26" s="1067"/>
      <c r="AI26" s="67"/>
      <c r="AJ26" s="889">
        <f t="shared" si="1"/>
        <v>0.1</v>
      </c>
      <c r="AK26" s="882"/>
      <c r="AL26" s="1821">
        <f>ROUND(IF(AG26=0,1,AJ26/ABS(AG26)),3)</f>
        <v>1</v>
      </c>
    </row>
    <row r="27" spans="1:38" s="881" customFormat="1" ht="15" customHeight="1">
      <c r="A27" s="1064"/>
      <c r="B27" s="2225" t="s">
        <v>1353</v>
      </c>
      <c r="C27" s="107"/>
      <c r="D27" s="890">
        <f t="shared" si="0"/>
        <v>0.2</v>
      </c>
      <c r="E27" s="1831"/>
      <c r="F27" s="890"/>
      <c r="G27" s="1831"/>
      <c r="H27" s="890"/>
      <c r="I27" s="1831"/>
      <c r="J27" s="890"/>
      <c r="K27" s="1529"/>
      <c r="L27" s="890"/>
      <c r="M27" s="1529"/>
      <c r="N27" s="890"/>
      <c r="O27" s="1529"/>
      <c r="P27" s="1781"/>
      <c r="Q27" s="1990"/>
      <c r="R27" s="1781"/>
      <c r="S27" s="1990"/>
      <c r="T27" s="1781"/>
      <c r="U27" s="1990"/>
      <c r="V27" s="1781"/>
      <c r="W27" s="1990"/>
      <c r="X27" s="1781"/>
      <c r="Y27" s="1990"/>
      <c r="Z27" s="1781"/>
      <c r="AA27" s="1991"/>
      <c r="AB27" s="1992"/>
      <c r="AC27" s="1994"/>
      <c r="AD27" s="1781">
        <v>0.2</v>
      </c>
      <c r="AE27" s="2024"/>
      <c r="AF27" s="3161"/>
      <c r="AG27" s="1781">
        <v>0</v>
      </c>
      <c r="AH27" s="1067"/>
      <c r="AI27" s="67"/>
      <c r="AJ27" s="889">
        <f t="shared" si="1"/>
        <v>0.2</v>
      </c>
      <c r="AK27" s="882"/>
      <c r="AL27" s="1821">
        <f>ROUND(IF(AG27=0,1,AJ27/ABS(AG27)),3)</f>
        <v>1</v>
      </c>
    </row>
    <row r="28" spans="1:38" s="747" customFormat="1" ht="15" customHeight="1">
      <c r="A28" s="1062"/>
      <c r="B28" s="1072" t="s">
        <v>1127</v>
      </c>
      <c r="C28" s="29"/>
      <c r="D28" s="1829">
        <f>ROUND(SUM(D20:D27),1)</f>
        <v>187.7</v>
      </c>
      <c r="E28" s="916"/>
      <c r="F28" s="1829">
        <f>ROUND(SUM(F20:F27),1)</f>
        <v>0</v>
      </c>
      <c r="G28" s="916"/>
      <c r="H28" s="1829">
        <f>ROUND(SUM(H20:H27),1)</f>
        <v>0</v>
      </c>
      <c r="I28" s="916"/>
      <c r="J28" s="1829">
        <f>ROUND(SUM(J20:J27),1)</f>
        <v>0</v>
      </c>
      <c r="K28" s="916"/>
      <c r="L28" s="61">
        <f>ROUND(SUM(L20:L27),1)</f>
        <v>0</v>
      </c>
      <c r="M28" s="916"/>
      <c r="N28" s="61">
        <f>ROUND(SUM(N20:N27),1)</f>
        <v>0</v>
      </c>
      <c r="O28" s="916"/>
      <c r="P28" s="2025">
        <f>ROUND(SUM(P20:P27),1)</f>
        <v>0</v>
      </c>
      <c r="Q28" s="1454"/>
      <c r="R28" s="2025">
        <f>ROUND(SUM(R20:R27),1)</f>
        <v>0</v>
      </c>
      <c r="S28" s="1454"/>
      <c r="T28" s="2025">
        <f>ROUND(SUM(T20:T27),1)</f>
        <v>0</v>
      </c>
      <c r="U28" s="1454"/>
      <c r="V28" s="2025">
        <f>ROUND(SUM(V20:V27),1)</f>
        <v>0</v>
      </c>
      <c r="W28" s="1454"/>
      <c r="X28" s="2025">
        <f>ROUND(SUM(X20:X27),1)</f>
        <v>0</v>
      </c>
      <c r="Y28" s="1454"/>
      <c r="Z28" s="2025">
        <f>ROUND(SUM(Z20:Z27),1)</f>
        <v>0</v>
      </c>
      <c r="AA28" s="1437"/>
      <c r="AB28" s="1454"/>
      <c r="AC28" s="2004"/>
      <c r="AD28" s="2009">
        <f>ROUND(SUM(AD20:AD27),1)</f>
        <v>187.7</v>
      </c>
      <c r="AE28" s="2042"/>
      <c r="AF28" s="3162"/>
      <c r="AG28" s="2009">
        <f>ROUND(SUM(AG20:AG27),1)</f>
        <v>156</v>
      </c>
      <c r="AH28" s="282"/>
      <c r="AI28" s="76"/>
      <c r="AJ28" s="61">
        <f>ROUND(SUM(AJ20:AJ27),1)</f>
        <v>31.7</v>
      </c>
      <c r="AK28" s="209"/>
      <c r="AL28" s="1044">
        <f t="shared" si="2"/>
        <v>0.20300000000000001</v>
      </c>
    </row>
    <row r="29" spans="1:38" ht="15" customHeight="1">
      <c r="A29" s="150"/>
      <c r="B29" s="1194" t="s">
        <v>1001</v>
      </c>
      <c r="C29" s="31"/>
      <c r="D29" s="1523"/>
      <c r="E29" s="1523"/>
      <c r="F29" s="1523"/>
      <c r="G29" s="1523"/>
      <c r="H29" s="1523"/>
      <c r="I29" s="1523"/>
      <c r="J29" s="1523"/>
      <c r="K29" s="66"/>
      <c r="L29" s="66"/>
      <c r="M29" s="66"/>
      <c r="N29" s="66"/>
      <c r="O29" s="66"/>
      <c r="P29" s="1998"/>
      <c r="Q29" s="1998"/>
      <c r="R29" s="1998"/>
      <c r="S29" s="1998"/>
      <c r="T29" s="1998"/>
      <c r="U29" s="1998"/>
      <c r="V29" s="1998"/>
      <c r="W29" s="1998"/>
      <c r="X29" s="1998"/>
      <c r="Y29" s="1998"/>
      <c r="Z29" s="1998"/>
      <c r="AA29" s="1998"/>
      <c r="AB29" s="1998"/>
      <c r="AC29" s="2001"/>
      <c r="AD29" s="1987"/>
      <c r="AE29" s="1987"/>
      <c r="AF29" s="3160"/>
      <c r="AG29" s="1987"/>
      <c r="AH29" s="275"/>
      <c r="AI29" s="56"/>
      <c r="AJ29" s="639"/>
      <c r="AK29" s="914"/>
      <c r="AL29" s="914"/>
    </row>
    <row r="30" spans="1:38" s="881" customFormat="1" ht="15" customHeight="1">
      <c r="A30" s="1064"/>
      <c r="B30" s="1071" t="s">
        <v>1019</v>
      </c>
      <c r="C30" s="107"/>
      <c r="D30" s="890">
        <f t="shared" ref="D30:D34" si="3">$AD30</f>
        <v>154.6</v>
      </c>
      <c r="E30" s="1831"/>
      <c r="F30" s="890"/>
      <c r="G30" s="1831"/>
      <c r="H30" s="890"/>
      <c r="I30" s="1523"/>
      <c r="J30" s="890"/>
      <c r="K30" s="1529"/>
      <c r="L30" s="890"/>
      <c r="M30" s="1529"/>
      <c r="N30" s="890"/>
      <c r="O30" s="1529"/>
      <c r="P30" s="890"/>
      <c r="Q30" s="1990"/>
      <c r="R30" s="1781"/>
      <c r="S30" s="1990"/>
      <c r="T30" s="1781"/>
      <c r="U30" s="1990"/>
      <c r="V30" s="1781"/>
      <c r="W30" s="1990"/>
      <c r="X30" s="1781"/>
      <c r="Y30" s="1990"/>
      <c r="Z30" s="1781"/>
      <c r="AA30" s="1991"/>
      <c r="AB30" s="1992"/>
      <c r="AC30" s="1994"/>
      <c r="AD30" s="1781">
        <v>154.6</v>
      </c>
      <c r="AE30" s="2024"/>
      <c r="AF30" s="3161"/>
      <c r="AG30" s="1781">
        <v>57</v>
      </c>
      <c r="AH30" s="1067"/>
      <c r="AI30" s="67"/>
      <c r="AJ30" s="889">
        <f>ROUND(SUM(+AD30-AG30),1)</f>
        <v>97.6</v>
      </c>
      <c r="AK30" s="882"/>
      <c r="AL30" s="1814">
        <f t="shared" ref="AL30:AL35" si="4">ROUND(IF(AG30=0,0,AJ30/ABS(AG30)),3)</f>
        <v>1.712</v>
      </c>
    </row>
    <row r="31" spans="1:38" s="881" customFormat="1" ht="15" customHeight="1">
      <c r="A31" s="1064"/>
      <c r="B31" s="1071" t="s">
        <v>1020</v>
      </c>
      <c r="C31" s="107"/>
      <c r="D31" s="890">
        <f t="shared" si="3"/>
        <v>19.3</v>
      </c>
      <c r="E31" s="1831"/>
      <c r="F31" s="890"/>
      <c r="G31" s="1831"/>
      <c r="H31" s="890"/>
      <c r="I31" s="1523"/>
      <c r="J31" s="890"/>
      <c r="K31" s="1529"/>
      <c r="L31" s="890"/>
      <c r="M31" s="1529"/>
      <c r="N31" s="890"/>
      <c r="O31" s="1529"/>
      <c r="P31" s="890"/>
      <c r="Q31" s="1990"/>
      <c r="R31" s="1781"/>
      <c r="S31" s="1990"/>
      <c r="T31" s="1781"/>
      <c r="U31" s="1990"/>
      <c r="V31" s="1781"/>
      <c r="W31" s="1990"/>
      <c r="X31" s="1781"/>
      <c r="Y31" s="1990"/>
      <c r="Z31" s="1781"/>
      <c r="AA31" s="1991"/>
      <c r="AB31" s="1992"/>
      <c r="AC31" s="1994"/>
      <c r="AD31" s="1781">
        <v>19.3</v>
      </c>
      <c r="AE31" s="2024"/>
      <c r="AF31" s="3161"/>
      <c r="AG31" s="1781">
        <v>2.2000000000000002</v>
      </c>
      <c r="AH31" s="1067"/>
      <c r="AI31" s="67"/>
      <c r="AJ31" s="889">
        <f>ROUND(SUM(+AD31-AG31),1)</f>
        <v>17.100000000000001</v>
      </c>
      <c r="AK31" s="882"/>
      <c r="AL31" s="1814">
        <f t="shared" si="4"/>
        <v>7.7729999999999997</v>
      </c>
    </row>
    <row r="32" spans="1:38" s="881" customFormat="1" ht="15" customHeight="1">
      <c r="A32" s="1064"/>
      <c r="B32" s="1071" t="s">
        <v>1021</v>
      </c>
      <c r="C32" s="107"/>
      <c r="D32" s="890">
        <f t="shared" si="3"/>
        <v>-8.8000000000000007</v>
      </c>
      <c r="E32" s="1831"/>
      <c r="F32" s="890"/>
      <c r="G32" s="1831"/>
      <c r="H32" s="890"/>
      <c r="I32" s="1523"/>
      <c r="J32" s="890"/>
      <c r="K32" s="1529"/>
      <c r="L32" s="890"/>
      <c r="M32" s="1529"/>
      <c r="N32" s="890"/>
      <c r="O32" s="1529"/>
      <c r="P32" s="890"/>
      <c r="Q32" s="1990"/>
      <c r="R32" s="1781"/>
      <c r="S32" s="1990"/>
      <c r="T32" s="1781"/>
      <c r="U32" s="1990"/>
      <c r="V32" s="1781"/>
      <c r="W32" s="1990"/>
      <c r="X32" s="1781"/>
      <c r="Y32" s="1990"/>
      <c r="Z32" s="1781"/>
      <c r="AA32" s="1991"/>
      <c r="AB32" s="1992"/>
      <c r="AC32" s="1994"/>
      <c r="AD32" s="1781">
        <v>-8.8000000000000007</v>
      </c>
      <c r="AE32" s="2024"/>
      <c r="AF32" s="3161"/>
      <c r="AG32" s="1781">
        <v>7.2</v>
      </c>
      <c r="AH32" s="1067"/>
      <c r="AI32" s="67"/>
      <c r="AJ32" s="889">
        <f>ROUND(SUM(+AD32-AG32),1)</f>
        <v>-16</v>
      </c>
      <c r="AK32" s="882"/>
      <c r="AL32" s="1815">
        <f t="shared" si="4"/>
        <v>-2.222</v>
      </c>
    </row>
    <row r="33" spans="1:39" s="881" customFormat="1" ht="15" customHeight="1">
      <c r="A33" s="1064"/>
      <c r="B33" s="1071" t="s">
        <v>1022</v>
      </c>
      <c r="C33" s="107"/>
      <c r="D33" s="890">
        <f t="shared" si="3"/>
        <v>3.1</v>
      </c>
      <c r="E33" s="1831"/>
      <c r="F33" s="890"/>
      <c r="G33" s="1831"/>
      <c r="H33" s="890"/>
      <c r="I33" s="1523"/>
      <c r="J33" s="890"/>
      <c r="K33" s="1529"/>
      <c r="L33" s="890"/>
      <c r="M33" s="1529"/>
      <c r="N33" s="890"/>
      <c r="O33" s="1529"/>
      <c r="P33" s="890"/>
      <c r="Q33" s="1990"/>
      <c r="R33" s="1781"/>
      <c r="S33" s="1990"/>
      <c r="T33" s="1781"/>
      <c r="U33" s="1990"/>
      <c r="V33" s="1781"/>
      <c r="W33" s="1990"/>
      <c r="X33" s="1781"/>
      <c r="Y33" s="1990"/>
      <c r="Z33" s="1781"/>
      <c r="AA33" s="1991"/>
      <c r="AB33" s="1992"/>
      <c r="AC33" s="1994"/>
      <c r="AD33" s="1781">
        <v>3.1</v>
      </c>
      <c r="AE33" s="2024"/>
      <c r="AF33" s="3161"/>
      <c r="AG33" s="1781">
        <v>1.3</v>
      </c>
      <c r="AH33" s="1067"/>
      <c r="AI33" s="67"/>
      <c r="AJ33" s="889">
        <f>ROUND(SUM(+AD33-AG33),1)</f>
        <v>1.8</v>
      </c>
      <c r="AK33" s="882"/>
      <c r="AL33" s="1815">
        <f t="shared" si="4"/>
        <v>1.385</v>
      </c>
    </row>
    <row r="34" spans="1:39" s="881" customFormat="1" ht="15" customHeight="1">
      <c r="A34" s="1064"/>
      <c r="B34" s="1071" t="s">
        <v>1023</v>
      </c>
      <c r="C34" s="107"/>
      <c r="D34" s="890">
        <f t="shared" si="3"/>
        <v>30.7</v>
      </c>
      <c r="E34" s="1831"/>
      <c r="F34" s="890"/>
      <c r="G34" s="1831"/>
      <c r="H34" s="890"/>
      <c r="I34" s="1523"/>
      <c r="J34" s="890"/>
      <c r="K34" s="1529"/>
      <c r="L34" s="890"/>
      <c r="M34" s="1529"/>
      <c r="N34" s="890"/>
      <c r="O34" s="1529"/>
      <c r="P34" s="890"/>
      <c r="Q34" s="1990"/>
      <c r="R34" s="1781"/>
      <c r="S34" s="1990"/>
      <c r="T34" s="1781"/>
      <c r="U34" s="1990"/>
      <c r="V34" s="1781"/>
      <c r="W34" s="1990"/>
      <c r="X34" s="1781"/>
      <c r="Y34" s="1990"/>
      <c r="Z34" s="1781"/>
      <c r="AA34" s="1991"/>
      <c r="AB34" s="1992"/>
      <c r="AC34" s="1994"/>
      <c r="AD34" s="1781">
        <v>30.7</v>
      </c>
      <c r="AE34" s="2024"/>
      <c r="AF34" s="3161"/>
      <c r="AG34" s="1781">
        <v>30.3</v>
      </c>
      <c r="AH34" s="1067"/>
      <c r="AI34" s="67"/>
      <c r="AJ34" s="889">
        <f>ROUND(SUM(+AD34-AG34),1)</f>
        <v>0.4</v>
      </c>
      <c r="AK34" s="882"/>
      <c r="AL34" s="1814">
        <f t="shared" si="4"/>
        <v>1.2999999999999999E-2</v>
      </c>
    </row>
    <row r="35" spans="1:39" s="747" customFormat="1" ht="15" customHeight="1">
      <c r="A35" s="1062"/>
      <c r="B35" s="1072" t="s">
        <v>1130</v>
      </c>
      <c r="C35" s="29"/>
      <c r="D35" s="1829">
        <f>ROUND(SUM(D30:D34),1)</f>
        <v>198.9</v>
      </c>
      <c r="E35" s="916"/>
      <c r="F35" s="1829">
        <f>ROUND(SUM(F30:F34),1)</f>
        <v>0</v>
      </c>
      <c r="G35" s="916"/>
      <c r="H35" s="1829">
        <f>ROUND(SUM(H30:H34),1)</f>
        <v>0</v>
      </c>
      <c r="I35" s="916"/>
      <c r="J35" s="1829">
        <f>ROUND(SUM(J30:J34),1)</f>
        <v>0</v>
      </c>
      <c r="K35" s="916"/>
      <c r="L35" s="61">
        <f>ROUND(SUM(L30:L34),1)</f>
        <v>0</v>
      </c>
      <c r="M35" s="916"/>
      <c r="N35" s="61">
        <f>ROUND(SUM(N30:N34),1)</f>
        <v>0</v>
      </c>
      <c r="O35" s="916"/>
      <c r="P35" s="2025">
        <f>ROUND(SUM(P30:P34),1)</f>
        <v>0</v>
      </c>
      <c r="Q35" s="1454"/>
      <c r="R35" s="2025">
        <f>ROUND(SUM(R30:R34),1)</f>
        <v>0</v>
      </c>
      <c r="S35" s="1454"/>
      <c r="T35" s="2025">
        <f>ROUND(SUM(T30:T34),1)</f>
        <v>0</v>
      </c>
      <c r="U35" s="1454"/>
      <c r="V35" s="2025">
        <f>ROUND(SUM(V30:V34),1)</f>
        <v>0</v>
      </c>
      <c r="W35" s="1454"/>
      <c r="X35" s="2025">
        <f>ROUND(SUM(X30:X34),1)</f>
        <v>0</v>
      </c>
      <c r="Y35" s="1454"/>
      <c r="Z35" s="2025">
        <f>ROUND(SUM(Z30:Z34),1)</f>
        <v>0</v>
      </c>
      <c r="AA35" s="1437"/>
      <c r="AB35" s="1454"/>
      <c r="AC35" s="2004"/>
      <c r="AD35" s="2009">
        <f>ROUND(SUM(AD30:AD34),1)</f>
        <v>198.9</v>
      </c>
      <c r="AE35" s="2042"/>
      <c r="AF35" s="3162"/>
      <c r="AG35" s="2009">
        <f>ROUND(SUM(AG30:AG34),1)</f>
        <v>98</v>
      </c>
      <c r="AH35" s="282"/>
      <c r="AI35" s="76"/>
      <c r="AJ35" s="61">
        <f>ROUND(SUM(AJ30:AJ34),1)</f>
        <v>100.9</v>
      </c>
      <c r="AK35" s="209"/>
      <c r="AL35" s="3894">
        <f t="shared" si="4"/>
        <v>1.03</v>
      </c>
    </row>
    <row r="36" spans="1:39" ht="15" customHeight="1">
      <c r="A36" s="150"/>
      <c r="B36" s="1072"/>
      <c r="C36" s="31"/>
      <c r="D36" s="1523"/>
      <c r="E36" s="1523"/>
      <c r="F36" s="1523"/>
      <c r="G36" s="1523"/>
      <c r="H36" s="1523"/>
      <c r="I36" s="1523"/>
      <c r="J36" s="1523"/>
      <c r="K36" s="66"/>
      <c r="L36" s="66"/>
      <c r="M36" s="66"/>
      <c r="N36" s="66"/>
      <c r="O36" s="66"/>
      <c r="P36" s="1998"/>
      <c r="Q36" s="1998"/>
      <c r="R36" s="1998"/>
      <c r="S36" s="1998"/>
      <c r="T36" s="1998"/>
      <c r="U36" s="1998"/>
      <c r="V36" s="1998"/>
      <c r="W36" s="1998"/>
      <c r="X36" s="1998"/>
      <c r="Y36" s="1998"/>
      <c r="Z36" s="1998"/>
      <c r="AA36" s="1998"/>
      <c r="AB36" s="1998"/>
      <c r="AC36" s="2026"/>
      <c r="AD36" s="1969"/>
      <c r="AE36" s="1987"/>
      <c r="AF36" s="3160"/>
      <c r="AG36" s="1969"/>
      <c r="AH36" s="275"/>
      <c r="AI36" s="56"/>
      <c r="AJ36" s="639"/>
      <c r="AK36" s="914"/>
      <c r="AL36" s="1426"/>
    </row>
    <row r="37" spans="1:39" ht="15" customHeight="1">
      <c r="A37" s="150"/>
      <c r="B37" s="310" t="s">
        <v>998</v>
      </c>
      <c r="C37" s="31"/>
      <c r="D37" s="3520">
        <f>ROUND(SUM(D17+D28+D35),1)</f>
        <v>386.6</v>
      </c>
      <c r="E37" s="1523"/>
      <c r="F37" s="3520">
        <f>ROUND(SUM(F17+F28+F35),1)</f>
        <v>0</v>
      </c>
      <c r="G37" s="1523"/>
      <c r="H37" s="3520">
        <f>ROUND(SUM(H17+H28+H35),1)</f>
        <v>0</v>
      </c>
      <c r="I37" s="1523"/>
      <c r="J37" s="3520">
        <f>ROUND(SUM(J17+J28+J35),1)</f>
        <v>0</v>
      </c>
      <c r="K37" s="66"/>
      <c r="L37" s="3520">
        <f>ROUND(SUM(L17+L28+L35),1)</f>
        <v>0</v>
      </c>
      <c r="M37" s="1523"/>
      <c r="N37" s="3520">
        <f>ROUND(SUM(N17+N28+N35),1)</f>
        <v>0</v>
      </c>
      <c r="O37" s="1523"/>
      <c r="P37" s="3520">
        <f>ROUND(SUM(P17+P28+P35),1)</f>
        <v>0</v>
      </c>
      <c r="Q37" s="1523"/>
      <c r="R37" s="3520">
        <f>ROUND(SUM(R17+R28+R35),1)</f>
        <v>0</v>
      </c>
      <c r="S37" s="1998"/>
      <c r="T37" s="3520">
        <f>ROUND(SUM(T17+T28+T35),1)</f>
        <v>0</v>
      </c>
      <c r="U37" s="1523"/>
      <c r="V37" s="3520">
        <f>ROUND(SUM(V17+V28+V35),1)</f>
        <v>0</v>
      </c>
      <c r="W37" s="1523"/>
      <c r="X37" s="3520">
        <f>ROUND(SUM(X17+X28+X35),1)</f>
        <v>0</v>
      </c>
      <c r="Y37" s="1523"/>
      <c r="Z37" s="3520">
        <f>ROUND(SUM(Z17+Z28+Z35),1)</f>
        <v>0</v>
      </c>
      <c r="AA37" s="2028"/>
      <c r="AB37" s="1998"/>
      <c r="AC37" s="2029"/>
      <c r="AD37" s="3520">
        <f>ROUND(SUM(AD17+AD28+AD35),1)</f>
        <v>386.6</v>
      </c>
      <c r="AE37" s="1987"/>
      <c r="AF37" s="2031"/>
      <c r="AG37" s="3520">
        <f>ROUND(SUM(AG17+AG28+AG35),1)</f>
        <v>254</v>
      </c>
      <c r="AH37" s="279"/>
      <c r="AI37" s="56"/>
      <c r="AJ37" s="3520">
        <f>ROUND(SUM(AJ17+AJ28+AJ35),1)</f>
        <v>132.6</v>
      </c>
      <c r="AK37" s="639"/>
      <c r="AL37" s="3521">
        <f>ROUND(IF(AG37=0,0,AJ37/ABS(AG37)),3)</f>
        <v>0.52200000000000002</v>
      </c>
      <c r="AM37" s="778"/>
    </row>
    <row r="38" spans="1:39" ht="15" customHeight="1">
      <c r="A38" s="150"/>
      <c r="B38" s="31"/>
      <c r="C38" s="31"/>
      <c r="D38" s="676"/>
      <c r="E38" s="1523"/>
      <c r="F38" s="676"/>
      <c r="G38" s="1523"/>
      <c r="H38" s="1523"/>
      <c r="I38" s="1523"/>
      <c r="J38" s="676"/>
      <c r="K38" s="66"/>
      <c r="L38" s="77"/>
      <c r="M38" s="66"/>
      <c r="N38" s="77"/>
      <c r="O38" s="66"/>
      <c r="P38" s="2007"/>
      <c r="Q38" s="1998"/>
      <c r="R38" s="2007"/>
      <c r="S38" s="1998"/>
      <c r="T38" s="2007"/>
      <c r="U38" s="1998"/>
      <c r="V38" s="2007"/>
      <c r="W38" s="1998"/>
      <c r="X38" s="2007"/>
      <c r="Y38" s="1998"/>
      <c r="Z38" s="2007"/>
      <c r="AA38" s="2007"/>
      <c r="AB38" s="1998"/>
      <c r="AC38" s="2029"/>
      <c r="AD38" s="2112"/>
      <c r="AE38" s="2620"/>
      <c r="AF38" s="1989"/>
      <c r="AG38" s="2112"/>
      <c r="AH38" s="279"/>
      <c r="AI38" s="56"/>
      <c r="AJ38" s="639"/>
      <c r="AK38" s="639"/>
      <c r="AL38" s="1425"/>
      <c r="AM38" s="778"/>
    </row>
    <row r="39" spans="1:39" ht="15" customHeight="1">
      <c r="A39" s="150"/>
      <c r="B39" s="261" t="s">
        <v>933</v>
      </c>
      <c r="C39" s="31"/>
      <c r="D39" s="676"/>
      <c r="E39" s="1523"/>
      <c r="F39" s="676"/>
      <c r="G39" s="1523"/>
      <c r="H39" s="1523"/>
      <c r="I39" s="1523"/>
      <c r="J39" s="676"/>
      <c r="K39" s="66"/>
      <c r="L39" s="77"/>
      <c r="M39" s="66"/>
      <c r="N39" s="77"/>
      <c r="O39" s="66"/>
      <c r="P39" s="2007"/>
      <c r="Q39" s="1998"/>
      <c r="R39" s="2007"/>
      <c r="S39" s="1998"/>
      <c r="T39" s="2007"/>
      <c r="U39" s="1998"/>
      <c r="V39" s="2007"/>
      <c r="W39" s="1998"/>
      <c r="X39" s="2007"/>
      <c r="Y39" s="1998"/>
      <c r="Z39" s="2007"/>
      <c r="AA39" s="2007"/>
      <c r="AB39" s="1998"/>
      <c r="AC39" s="2029"/>
      <c r="AD39" s="1987"/>
      <c r="AE39" s="1987"/>
      <c r="AF39" s="1989"/>
      <c r="AG39" s="1987"/>
      <c r="AH39" s="275"/>
      <c r="AI39" s="56"/>
      <c r="AJ39" s="639"/>
      <c r="AK39" s="639"/>
      <c r="AL39" s="1425"/>
      <c r="AM39" s="778"/>
    </row>
    <row r="40" spans="1:39" ht="15" customHeight="1">
      <c r="A40" s="150"/>
      <c r="B40" s="886" t="s">
        <v>1052</v>
      </c>
      <c r="C40" s="31"/>
      <c r="D40" s="676"/>
      <c r="E40" s="1523"/>
      <c r="F40" s="676"/>
      <c r="G40" s="1523"/>
      <c r="H40" s="1523"/>
      <c r="I40" s="1523"/>
      <c r="J40" s="676"/>
      <c r="K40" s="66"/>
      <c r="L40" s="77"/>
      <c r="M40" s="66"/>
      <c r="N40" s="77"/>
      <c r="O40" s="66"/>
      <c r="P40" s="2007"/>
      <c r="Q40" s="1998"/>
      <c r="R40" s="2007"/>
      <c r="S40" s="1998"/>
      <c r="T40" s="2007"/>
      <c r="U40" s="1998"/>
      <c r="V40" s="2007"/>
      <c r="W40" s="1998"/>
      <c r="X40" s="2007"/>
      <c r="Y40" s="1998"/>
      <c r="Z40" s="2007"/>
      <c r="AA40" s="2007"/>
      <c r="AB40" s="1998"/>
      <c r="AC40" s="2029"/>
      <c r="AD40" s="1987"/>
      <c r="AE40" s="1987"/>
      <c r="AF40" s="1989"/>
      <c r="AG40" s="1987"/>
      <c r="AH40" s="275"/>
      <c r="AI40" s="56"/>
      <c r="AJ40" s="639"/>
      <c r="AK40" s="639"/>
      <c r="AL40" s="1425"/>
      <c r="AM40" s="778"/>
    </row>
    <row r="41" spans="1:39" s="881" customFormat="1" ht="15" customHeight="1">
      <c r="A41" s="1064"/>
      <c r="B41" s="886" t="s">
        <v>966</v>
      </c>
      <c r="C41" s="107"/>
      <c r="D41" s="890">
        <f t="shared" ref="D41" si="5">$AD41</f>
        <v>0.9</v>
      </c>
      <c r="E41" s="889"/>
      <c r="F41" s="890"/>
      <c r="G41" s="889"/>
      <c r="H41" s="890"/>
      <c r="I41" s="889"/>
      <c r="J41" s="890"/>
      <c r="K41" s="1529"/>
      <c r="L41" s="890"/>
      <c r="M41" s="1529"/>
      <c r="N41" s="890"/>
      <c r="O41" s="1529"/>
      <c r="P41" s="890"/>
      <c r="Q41" s="1990"/>
      <c r="R41" s="1781"/>
      <c r="S41" s="1990"/>
      <c r="T41" s="1781"/>
      <c r="U41" s="1990"/>
      <c r="V41" s="1781"/>
      <c r="W41" s="1990"/>
      <c r="X41" s="1781"/>
      <c r="Y41" s="1990"/>
      <c r="Z41" s="1781"/>
      <c r="AA41" s="1991"/>
      <c r="AB41" s="1992"/>
      <c r="AC41" s="1994"/>
      <c r="AD41" s="1781">
        <v>0.9</v>
      </c>
      <c r="AE41" s="2024"/>
      <c r="AF41" s="3161"/>
      <c r="AG41" s="1781">
        <v>1.2000000000000002</v>
      </c>
      <c r="AH41" s="1067"/>
      <c r="AI41" s="67"/>
      <c r="AJ41" s="889">
        <f>ROUND(SUM(+AD41-AG41),1)</f>
        <v>-0.3</v>
      </c>
      <c r="AK41" s="889"/>
      <c r="AL41" s="1810">
        <f>ROUND(IF(AG41=0,0,AJ41/ABS(AG41)),3)</f>
        <v>-0.25</v>
      </c>
      <c r="AM41" s="1811"/>
    </row>
    <row r="42" spans="1:39" s="881" customFormat="1" ht="15" customHeight="1">
      <c r="A42" s="1064"/>
      <c r="B42" s="886" t="s">
        <v>1053</v>
      </c>
      <c r="C42" s="107"/>
      <c r="D42" s="890" t="s">
        <v>14</v>
      </c>
      <c r="E42" s="1523"/>
      <c r="F42" s="890"/>
      <c r="G42" s="1523"/>
      <c r="H42" s="890"/>
      <c r="I42" s="1523"/>
      <c r="J42" s="890"/>
      <c r="K42" s="118"/>
      <c r="L42" s="890"/>
      <c r="M42" s="889"/>
      <c r="N42" s="890"/>
      <c r="O42" s="118"/>
      <c r="P42" s="890"/>
      <c r="Q42" s="1987"/>
      <c r="R42" s="1781"/>
      <c r="S42" s="1987"/>
      <c r="T42" s="1781"/>
      <c r="U42" s="1987"/>
      <c r="V42" s="1781"/>
      <c r="W42" s="1987"/>
      <c r="X42" s="1781"/>
      <c r="Y42" s="1987"/>
      <c r="Z42" s="1781"/>
      <c r="AA42" s="1986"/>
      <c r="AB42" s="1987"/>
      <c r="AC42" s="2031"/>
      <c r="AD42" s="1987"/>
      <c r="AE42" s="1987"/>
      <c r="AF42" s="1989"/>
      <c r="AG42" s="1987"/>
      <c r="AH42" s="1067"/>
      <c r="AI42" s="67"/>
      <c r="AJ42" s="889"/>
      <c r="AK42" s="889"/>
      <c r="AL42" s="1810"/>
      <c r="AM42" s="1811"/>
    </row>
    <row r="43" spans="1:39" s="881" customFormat="1" ht="15" customHeight="1">
      <c r="A43" s="1064"/>
      <c r="B43" s="886" t="s">
        <v>968</v>
      </c>
      <c r="C43" s="107"/>
      <c r="D43" s="890">
        <f t="shared" ref="D43:D79" si="6">$AD43</f>
        <v>63.7</v>
      </c>
      <c r="E43" s="1523"/>
      <c r="F43" s="890"/>
      <c r="G43" s="1523"/>
      <c r="H43" s="890"/>
      <c r="I43" s="1523"/>
      <c r="J43" s="890"/>
      <c r="K43" s="1529"/>
      <c r="L43" s="890"/>
      <c r="M43" s="1529"/>
      <c r="N43" s="890"/>
      <c r="O43" s="1529"/>
      <c r="P43" s="890"/>
      <c r="Q43" s="1990"/>
      <c r="R43" s="1781"/>
      <c r="S43" s="1990"/>
      <c r="T43" s="1781"/>
      <c r="U43" s="1990"/>
      <c r="V43" s="1781"/>
      <c r="W43" s="1990"/>
      <c r="X43" s="1781"/>
      <c r="Y43" s="1990"/>
      <c r="Z43" s="1781"/>
      <c r="AA43" s="1991"/>
      <c r="AB43" s="1992"/>
      <c r="AC43" s="1994"/>
      <c r="AD43" s="1781">
        <v>63.7</v>
      </c>
      <c r="AE43" s="2024"/>
      <c r="AF43" s="3161"/>
      <c r="AG43" s="1781">
        <v>42.7</v>
      </c>
      <c r="AH43" s="1067"/>
      <c r="AI43" s="67"/>
      <c r="AJ43" s="889">
        <f>ROUND(SUM(+AD43-AG43),1)</f>
        <v>21</v>
      </c>
      <c r="AK43" s="889"/>
      <c r="AL43" s="1810">
        <f>ROUND(IF(AG43=0,0,AJ43/ABS(AG43)),3)</f>
        <v>0.49199999999999999</v>
      </c>
      <c r="AM43" s="1811"/>
    </row>
    <row r="44" spans="1:39" s="881" customFormat="1" ht="15" customHeight="1">
      <c r="A44" s="1064"/>
      <c r="B44" s="886" t="s">
        <v>969</v>
      </c>
      <c r="C44" s="107"/>
      <c r="D44" s="890">
        <f t="shared" si="6"/>
        <v>482.7</v>
      </c>
      <c r="E44" s="1523"/>
      <c r="F44" s="890"/>
      <c r="G44" s="1523"/>
      <c r="H44" s="890"/>
      <c r="I44" s="1523"/>
      <c r="J44" s="890"/>
      <c r="K44" s="1529"/>
      <c r="L44" s="890"/>
      <c r="M44" s="1529"/>
      <c r="N44" s="890"/>
      <c r="O44" s="1529"/>
      <c r="P44" s="890"/>
      <c r="Q44" s="1990"/>
      <c r="R44" s="1781"/>
      <c r="S44" s="1990"/>
      <c r="T44" s="1781"/>
      <c r="U44" s="1990"/>
      <c r="V44" s="1781"/>
      <c r="W44" s="1990"/>
      <c r="X44" s="1781"/>
      <c r="Y44" s="1990"/>
      <c r="Z44" s="1781"/>
      <c r="AA44" s="1991"/>
      <c r="AB44" s="1992"/>
      <c r="AC44" s="1994"/>
      <c r="AD44" s="1781">
        <v>482.7</v>
      </c>
      <c r="AE44" s="2024"/>
      <c r="AF44" s="3161"/>
      <c r="AG44" s="1781">
        <v>569.29999999999995</v>
      </c>
      <c r="AH44" s="1067"/>
      <c r="AI44" s="67"/>
      <c r="AJ44" s="889">
        <f>ROUND(SUM(+AD44-AG44),1)</f>
        <v>-86.6</v>
      </c>
      <c r="AK44" s="889"/>
      <c r="AL44" s="1810">
        <f>ROUND(IF(AG44=0,0,AJ44/ABS(AG44)),3)</f>
        <v>-0.152</v>
      </c>
      <c r="AM44" s="1811"/>
    </row>
    <row r="45" spans="1:39" ht="15" customHeight="1">
      <c r="A45" s="150"/>
      <c r="B45" s="886" t="s">
        <v>970</v>
      </c>
      <c r="C45" s="31"/>
      <c r="D45" s="890">
        <f t="shared" si="6"/>
        <v>1.5</v>
      </c>
      <c r="E45" s="1523"/>
      <c r="F45" s="890"/>
      <c r="G45" s="1523"/>
      <c r="H45" s="890"/>
      <c r="I45" s="1523"/>
      <c r="J45" s="890"/>
      <c r="K45" s="1529"/>
      <c r="L45" s="890"/>
      <c r="M45" s="1529"/>
      <c r="N45" s="890"/>
      <c r="O45" s="1529"/>
      <c r="P45" s="890"/>
      <c r="Q45" s="1990"/>
      <c r="R45" s="1781"/>
      <c r="S45" s="1990"/>
      <c r="T45" s="1781"/>
      <c r="U45" s="1990"/>
      <c r="V45" s="1781"/>
      <c r="W45" s="1990"/>
      <c r="X45" s="1781"/>
      <c r="Y45" s="1990"/>
      <c r="Z45" s="1781"/>
      <c r="AA45" s="1991"/>
      <c r="AB45" s="1992"/>
      <c r="AC45" s="1994"/>
      <c r="AD45" s="1781">
        <v>1.5</v>
      </c>
      <c r="AE45" s="2024"/>
      <c r="AF45" s="3161"/>
      <c r="AG45" s="1781">
        <v>0.1</v>
      </c>
      <c r="AH45" s="275"/>
      <c r="AI45" s="56"/>
      <c r="AJ45" s="639">
        <f>ROUND(SUM(+AD45-AG45),1)</f>
        <v>1.4</v>
      </c>
      <c r="AK45" s="639"/>
      <c r="AL45" s="3889">
        <f>ROUND(IF(AG45=0,0,AJ45/ABS(AG45)),3)</f>
        <v>14</v>
      </c>
      <c r="AM45" s="778"/>
    </row>
    <row r="46" spans="1:39" ht="15" customHeight="1">
      <c r="A46" s="150"/>
      <c r="B46" s="886" t="s">
        <v>971</v>
      </c>
      <c r="C46" s="31"/>
      <c r="D46" s="890">
        <f t="shared" si="6"/>
        <v>0</v>
      </c>
      <c r="E46" s="1523"/>
      <c r="F46" s="890"/>
      <c r="G46" s="1523"/>
      <c r="H46" s="890"/>
      <c r="I46" s="1523"/>
      <c r="J46" s="890"/>
      <c r="K46" s="1529"/>
      <c r="L46" s="890"/>
      <c r="M46" s="1529"/>
      <c r="N46" s="890"/>
      <c r="O46" s="1529"/>
      <c r="P46" s="890"/>
      <c r="Q46" s="1990"/>
      <c r="R46" s="1781"/>
      <c r="S46" s="1990"/>
      <c r="T46" s="1781"/>
      <c r="U46" s="1990"/>
      <c r="V46" s="1781"/>
      <c r="W46" s="1990"/>
      <c r="X46" s="1781"/>
      <c r="Y46" s="1990"/>
      <c r="Z46" s="1781"/>
      <c r="AA46" s="1991"/>
      <c r="AB46" s="1992"/>
      <c r="AC46" s="1994"/>
      <c r="AD46" s="1781">
        <v>0</v>
      </c>
      <c r="AE46" s="2024"/>
      <c r="AF46" s="3161"/>
      <c r="AG46" s="1781">
        <v>0</v>
      </c>
      <c r="AH46" s="275"/>
      <c r="AI46" s="56"/>
      <c r="AJ46" s="639">
        <f>ROUND(SUM(+AD46-AG46),1)</f>
        <v>0</v>
      </c>
      <c r="AK46" s="639"/>
      <c r="AL46" s="1425">
        <f>ROUND(IF(AG46=0,0,AJ46/ABS(AG46)),3)</f>
        <v>0</v>
      </c>
      <c r="AM46" s="778"/>
    </row>
    <row r="47" spans="1:39" s="881" customFormat="1" ht="15" customHeight="1">
      <c r="A47" s="1064"/>
      <c r="B47" s="886" t="s">
        <v>1058</v>
      </c>
      <c r="C47" s="107"/>
      <c r="D47" s="890" t="s">
        <v>14</v>
      </c>
      <c r="E47" s="1523"/>
      <c r="F47" s="890"/>
      <c r="G47" s="1523"/>
      <c r="H47" s="890"/>
      <c r="I47" s="1523"/>
      <c r="J47" s="890"/>
      <c r="K47" s="118"/>
      <c r="L47" s="890"/>
      <c r="M47" s="118"/>
      <c r="N47" s="890"/>
      <c r="O47" s="118"/>
      <c r="P47" s="890"/>
      <c r="Q47" s="1987"/>
      <c r="R47" s="1781"/>
      <c r="S47" s="1987"/>
      <c r="T47" s="1781"/>
      <c r="U47" s="1987"/>
      <c r="V47" s="1781"/>
      <c r="W47" s="1987"/>
      <c r="X47" s="1781"/>
      <c r="Y47" s="1987"/>
      <c r="Z47" s="1781"/>
      <c r="AA47" s="1986"/>
      <c r="AB47" s="1987"/>
      <c r="AC47" s="2031"/>
      <c r="AD47" s="3153"/>
      <c r="AE47" s="1987"/>
      <c r="AF47" s="1989"/>
      <c r="AG47" s="3153"/>
      <c r="AH47" s="1067"/>
      <c r="AI47" s="67"/>
      <c r="AJ47" s="889"/>
      <c r="AK47" s="889"/>
      <c r="AL47" s="1810"/>
      <c r="AM47" s="1811"/>
    </row>
    <row r="48" spans="1:39" s="881" customFormat="1" ht="15" customHeight="1">
      <c r="A48" s="1064"/>
      <c r="B48" s="886" t="s">
        <v>1149</v>
      </c>
      <c r="C48" s="107"/>
      <c r="D48" s="890">
        <f t="shared" si="6"/>
        <v>0</v>
      </c>
      <c r="E48" s="1523"/>
      <c r="F48" s="890"/>
      <c r="G48" s="1523"/>
      <c r="H48" s="890"/>
      <c r="I48" s="1523"/>
      <c r="J48" s="890"/>
      <c r="K48" s="1529"/>
      <c r="L48" s="890"/>
      <c r="M48" s="1529"/>
      <c r="N48" s="890"/>
      <c r="O48" s="1529"/>
      <c r="P48" s="890"/>
      <c r="Q48" s="1990"/>
      <c r="R48" s="1781"/>
      <c r="S48" s="1990"/>
      <c r="T48" s="1781"/>
      <c r="U48" s="1990"/>
      <c r="V48" s="1781"/>
      <c r="W48" s="1990"/>
      <c r="X48" s="1781"/>
      <c r="Y48" s="1990"/>
      <c r="Z48" s="1781"/>
      <c r="AA48" s="1991"/>
      <c r="AB48" s="1992"/>
      <c r="AC48" s="1994"/>
      <c r="AD48" s="1781">
        <v>0</v>
      </c>
      <c r="AE48" s="2024"/>
      <c r="AF48" s="3161"/>
      <c r="AG48" s="1781">
        <v>0</v>
      </c>
      <c r="AH48" s="1067"/>
      <c r="AI48" s="67"/>
      <c r="AJ48" s="889">
        <f t="shared" ref="AJ48:AJ54" si="7">ROUND(SUM(+AD48-AG48),1)</f>
        <v>0</v>
      </c>
      <c r="AK48" s="889"/>
      <c r="AL48" s="1716">
        <f>ROUND(IF(AG48=0,0,AJ48/ABS(AG48)),3)</f>
        <v>0</v>
      </c>
      <c r="AM48" s="1811"/>
    </row>
    <row r="49" spans="1:39" s="881" customFormat="1" ht="15" customHeight="1">
      <c r="A49" s="1064"/>
      <c r="B49" s="886" t="s">
        <v>972</v>
      </c>
      <c r="C49" s="107"/>
      <c r="D49" s="890">
        <f t="shared" si="6"/>
        <v>38.6</v>
      </c>
      <c r="E49" s="1523"/>
      <c r="F49" s="890"/>
      <c r="G49" s="1523"/>
      <c r="H49" s="890"/>
      <c r="I49" s="1523"/>
      <c r="J49" s="890"/>
      <c r="K49" s="1529"/>
      <c r="L49" s="890"/>
      <c r="M49" s="1529"/>
      <c r="N49" s="890"/>
      <c r="O49" s="1529"/>
      <c r="P49" s="890"/>
      <c r="Q49" s="1990"/>
      <c r="R49" s="1781"/>
      <c r="S49" s="1990"/>
      <c r="T49" s="1781"/>
      <c r="U49" s="1990"/>
      <c r="V49" s="1781"/>
      <c r="W49" s="1990"/>
      <c r="X49" s="1781"/>
      <c r="Y49" s="1990"/>
      <c r="Z49" s="1781"/>
      <c r="AA49" s="1991"/>
      <c r="AB49" s="1992"/>
      <c r="AC49" s="1994"/>
      <c r="AD49" s="1781">
        <v>38.6</v>
      </c>
      <c r="AE49" s="2024"/>
      <c r="AF49" s="3161"/>
      <c r="AG49" s="1781">
        <v>48.199999999999996</v>
      </c>
      <c r="AH49" s="1067"/>
      <c r="AI49" s="67"/>
      <c r="AJ49" s="889">
        <f t="shared" si="7"/>
        <v>-9.6</v>
      </c>
      <c r="AK49" s="889"/>
      <c r="AL49" s="1810">
        <f t="shared" ref="AL49:AL54" si="8">ROUND(IF(AG49=0,0,AJ49/ABS(AG49)),3)</f>
        <v>-0.19900000000000001</v>
      </c>
      <c r="AM49" s="1811"/>
    </row>
    <row r="50" spans="1:39" s="881" customFormat="1" ht="15" customHeight="1">
      <c r="A50" s="1064"/>
      <c r="B50" s="886" t="s">
        <v>973</v>
      </c>
      <c r="C50" s="107"/>
      <c r="D50" s="890">
        <f t="shared" si="6"/>
        <v>5.0999999999999996</v>
      </c>
      <c r="E50" s="1523"/>
      <c r="F50" s="890"/>
      <c r="G50" s="1523"/>
      <c r="H50" s="890"/>
      <c r="I50" s="1523"/>
      <c r="J50" s="890"/>
      <c r="K50" s="1529"/>
      <c r="L50" s="890"/>
      <c r="M50" s="1529"/>
      <c r="N50" s="890"/>
      <c r="O50" s="1529"/>
      <c r="P50" s="890"/>
      <c r="Q50" s="1990"/>
      <c r="R50" s="1781"/>
      <c r="S50" s="1990"/>
      <c r="T50" s="1781"/>
      <c r="U50" s="1990"/>
      <c r="V50" s="1781"/>
      <c r="W50" s="1990"/>
      <c r="X50" s="1781"/>
      <c r="Y50" s="1990"/>
      <c r="Z50" s="1781"/>
      <c r="AA50" s="1991"/>
      <c r="AB50" s="1992"/>
      <c r="AC50" s="1994"/>
      <c r="AD50" s="1781">
        <v>5.0999999999999996</v>
      </c>
      <c r="AE50" s="2024"/>
      <c r="AF50" s="3161"/>
      <c r="AG50" s="1781">
        <v>3.2</v>
      </c>
      <c r="AH50" s="1067"/>
      <c r="AI50" s="67"/>
      <c r="AJ50" s="889">
        <f t="shared" si="7"/>
        <v>1.9</v>
      </c>
      <c r="AK50" s="889"/>
      <c r="AL50" s="1810">
        <f t="shared" si="8"/>
        <v>0.59399999999999997</v>
      </c>
      <c r="AM50" s="1811"/>
    </row>
    <row r="51" spans="1:39" s="881" customFormat="1" ht="15" customHeight="1">
      <c r="A51" s="1064"/>
      <c r="B51" s="886" t="s">
        <v>974</v>
      </c>
      <c r="C51" s="107"/>
      <c r="D51" s="890">
        <f t="shared" si="6"/>
        <v>0.9</v>
      </c>
      <c r="E51" s="1523"/>
      <c r="F51" s="890"/>
      <c r="G51" s="1523"/>
      <c r="H51" s="890"/>
      <c r="I51" s="1523"/>
      <c r="J51" s="890"/>
      <c r="K51" s="1529"/>
      <c r="L51" s="890"/>
      <c r="M51" s="1529"/>
      <c r="N51" s="890"/>
      <c r="O51" s="1529"/>
      <c r="P51" s="890"/>
      <c r="Q51" s="1990"/>
      <c r="R51" s="1781"/>
      <c r="S51" s="1990"/>
      <c r="T51" s="1781"/>
      <c r="U51" s="1990"/>
      <c r="V51" s="1781"/>
      <c r="W51" s="1990"/>
      <c r="X51" s="1781"/>
      <c r="Y51" s="1990"/>
      <c r="Z51" s="1781"/>
      <c r="AA51" s="1991"/>
      <c r="AB51" s="1992"/>
      <c r="AC51" s="1994"/>
      <c r="AD51" s="1781">
        <v>0.9</v>
      </c>
      <c r="AE51" s="2024"/>
      <c r="AF51" s="3161"/>
      <c r="AG51" s="1781">
        <v>0.5</v>
      </c>
      <c r="AH51" s="1067"/>
      <c r="AI51" s="67"/>
      <c r="AJ51" s="889">
        <f t="shared" si="7"/>
        <v>0.4</v>
      </c>
      <c r="AK51" s="889"/>
      <c r="AL51" s="1810">
        <f>ROUND(IF(AG51=0,1,AJ51/ABS(AG51)),3)</f>
        <v>0.8</v>
      </c>
      <c r="AM51" s="1811"/>
    </row>
    <row r="52" spans="1:39" s="881" customFormat="1" ht="15" customHeight="1">
      <c r="A52" s="1064"/>
      <c r="B52" s="886" t="s">
        <v>975</v>
      </c>
      <c r="C52" s="107"/>
      <c r="D52" s="890">
        <f t="shared" si="6"/>
        <v>29.6</v>
      </c>
      <c r="E52" s="1523"/>
      <c r="F52" s="890"/>
      <c r="G52" s="1523"/>
      <c r="H52" s="890"/>
      <c r="I52" s="1523"/>
      <c r="J52" s="890"/>
      <c r="K52" s="1529"/>
      <c r="L52" s="890"/>
      <c r="M52" s="1529"/>
      <c r="N52" s="890"/>
      <c r="O52" s="1529"/>
      <c r="P52" s="890"/>
      <c r="Q52" s="1990"/>
      <c r="R52" s="1781"/>
      <c r="S52" s="1990"/>
      <c r="T52" s="1781"/>
      <c r="U52" s="1990"/>
      <c r="V52" s="1781"/>
      <c r="W52" s="1990"/>
      <c r="X52" s="1781"/>
      <c r="Y52" s="1990"/>
      <c r="Z52" s="1781"/>
      <c r="AA52" s="1991"/>
      <c r="AB52" s="1992"/>
      <c r="AC52" s="1994"/>
      <c r="AD52" s="1781">
        <v>29.6</v>
      </c>
      <c r="AE52" s="2024"/>
      <c r="AF52" s="3161"/>
      <c r="AG52" s="1781">
        <v>18.399999999999999</v>
      </c>
      <c r="AH52" s="1067"/>
      <c r="AI52" s="67"/>
      <c r="AJ52" s="889">
        <f t="shared" si="7"/>
        <v>11.2</v>
      </c>
      <c r="AK52" s="889"/>
      <c r="AL52" s="1810">
        <f t="shared" si="8"/>
        <v>0.60899999999999999</v>
      </c>
      <c r="AM52" s="1811"/>
    </row>
    <row r="53" spans="1:39" s="881" customFormat="1" ht="15" customHeight="1">
      <c r="A53" s="1064"/>
      <c r="B53" s="886" t="s">
        <v>976</v>
      </c>
      <c r="C53" s="107"/>
      <c r="D53" s="890">
        <f t="shared" si="6"/>
        <v>65.7</v>
      </c>
      <c r="E53" s="1523"/>
      <c r="F53" s="890"/>
      <c r="G53" s="1523"/>
      <c r="H53" s="890"/>
      <c r="I53" s="1523"/>
      <c r="J53" s="890"/>
      <c r="K53" s="1529"/>
      <c r="L53" s="890"/>
      <c r="M53" s="1529"/>
      <c r="N53" s="890"/>
      <c r="O53" s="1529"/>
      <c r="P53" s="890"/>
      <c r="Q53" s="1990"/>
      <c r="R53" s="1781"/>
      <c r="S53" s="1990"/>
      <c r="T53" s="1781"/>
      <c r="U53" s="1990"/>
      <c r="V53" s="1781"/>
      <c r="W53" s="1990"/>
      <c r="X53" s="1781"/>
      <c r="Y53" s="1990"/>
      <c r="Z53" s="1781"/>
      <c r="AA53" s="1991"/>
      <c r="AB53" s="1992"/>
      <c r="AC53" s="1994"/>
      <c r="AD53" s="1781">
        <v>65.7</v>
      </c>
      <c r="AE53" s="2024"/>
      <c r="AF53" s="3161"/>
      <c r="AG53" s="1781">
        <v>43</v>
      </c>
      <c r="AH53" s="1067"/>
      <c r="AI53" s="67"/>
      <c r="AJ53" s="889">
        <f t="shared" si="7"/>
        <v>22.7</v>
      </c>
      <c r="AK53" s="889"/>
      <c r="AL53" s="1810">
        <f t="shared" si="8"/>
        <v>0.52800000000000002</v>
      </c>
      <c r="AM53" s="1811"/>
    </row>
    <row r="54" spans="1:39" s="881" customFormat="1" ht="15" customHeight="1">
      <c r="A54" s="1064"/>
      <c r="B54" s="886" t="s">
        <v>934</v>
      </c>
      <c r="C54" s="107"/>
      <c r="D54" s="890">
        <f t="shared" si="6"/>
        <v>6.1</v>
      </c>
      <c r="E54" s="1523"/>
      <c r="F54" s="890"/>
      <c r="G54" s="1523"/>
      <c r="H54" s="890"/>
      <c r="I54" s="1523"/>
      <c r="J54" s="890"/>
      <c r="K54" s="1529"/>
      <c r="L54" s="890"/>
      <c r="M54" s="1529"/>
      <c r="N54" s="890"/>
      <c r="O54" s="1529"/>
      <c r="P54" s="890"/>
      <c r="Q54" s="1990"/>
      <c r="R54" s="1781"/>
      <c r="S54" s="1990"/>
      <c r="T54" s="1781"/>
      <c r="U54" s="1990"/>
      <c r="V54" s="1781"/>
      <c r="W54" s="1990"/>
      <c r="X54" s="1781"/>
      <c r="Y54" s="1990"/>
      <c r="Z54" s="1781"/>
      <c r="AA54" s="1991"/>
      <c r="AB54" s="1992"/>
      <c r="AC54" s="1994"/>
      <c r="AD54" s="1781">
        <v>6.1</v>
      </c>
      <c r="AE54" s="2024"/>
      <c r="AF54" s="3161"/>
      <c r="AG54" s="1781">
        <v>9.6999999999999993</v>
      </c>
      <c r="AH54" s="1067"/>
      <c r="AI54" s="67"/>
      <c r="AJ54" s="889">
        <f t="shared" si="7"/>
        <v>-3.6</v>
      </c>
      <c r="AK54" s="889"/>
      <c r="AL54" s="1721">
        <f t="shared" si="8"/>
        <v>-0.371</v>
      </c>
      <c r="AM54" s="1811"/>
    </row>
    <row r="55" spans="1:39" s="881" customFormat="1" ht="15" customHeight="1">
      <c r="A55" s="1064"/>
      <c r="B55" s="886" t="s">
        <v>1055</v>
      </c>
      <c r="C55" s="107"/>
      <c r="D55" s="890" t="s">
        <v>14</v>
      </c>
      <c r="E55" s="1523"/>
      <c r="F55" s="890"/>
      <c r="G55" s="1523"/>
      <c r="H55" s="890"/>
      <c r="I55" s="1523"/>
      <c r="J55" s="890"/>
      <c r="K55" s="118"/>
      <c r="L55" s="890"/>
      <c r="M55" s="118"/>
      <c r="N55" s="890"/>
      <c r="O55" s="118"/>
      <c r="P55" s="890"/>
      <c r="Q55" s="1987"/>
      <c r="R55" s="1781"/>
      <c r="S55" s="1987"/>
      <c r="T55" s="1781"/>
      <c r="U55" s="1987"/>
      <c r="V55" s="1781"/>
      <c r="W55" s="1987"/>
      <c r="X55" s="1781"/>
      <c r="Y55" s="1987"/>
      <c r="Z55" s="1781"/>
      <c r="AA55" s="1986"/>
      <c r="AB55" s="1987"/>
      <c r="AC55" s="2031"/>
      <c r="AD55" s="1987"/>
      <c r="AE55" s="1987"/>
      <c r="AF55" s="1989"/>
      <c r="AG55" s="1987"/>
      <c r="AH55" s="1067"/>
      <c r="AI55" s="67"/>
      <c r="AJ55" s="889"/>
      <c r="AK55" s="889"/>
      <c r="AL55" s="1810"/>
      <c r="AM55" s="1811"/>
    </row>
    <row r="56" spans="1:39" s="881" customFormat="1" ht="15" customHeight="1">
      <c r="A56" s="1064"/>
      <c r="B56" s="886" t="s">
        <v>977</v>
      </c>
      <c r="C56" s="107"/>
      <c r="D56" s="890">
        <f t="shared" si="6"/>
        <v>34.200000000000003</v>
      </c>
      <c r="E56" s="1523"/>
      <c r="F56" s="890"/>
      <c r="G56" s="1523"/>
      <c r="H56" s="890"/>
      <c r="I56" s="1523"/>
      <c r="J56" s="890"/>
      <c r="K56" s="1529"/>
      <c r="L56" s="890"/>
      <c r="M56" s="1529"/>
      <c r="N56" s="890"/>
      <c r="O56" s="1529"/>
      <c r="P56" s="890"/>
      <c r="Q56" s="1990"/>
      <c r="R56" s="1781"/>
      <c r="S56" s="1990"/>
      <c r="T56" s="1781"/>
      <c r="U56" s="1990"/>
      <c r="V56" s="1781"/>
      <c r="W56" s="1990"/>
      <c r="X56" s="1781"/>
      <c r="Y56" s="1990"/>
      <c r="Z56" s="1781"/>
      <c r="AA56" s="1991"/>
      <c r="AB56" s="1992"/>
      <c r="AC56" s="1994"/>
      <c r="AD56" s="1781">
        <v>34.200000000000003</v>
      </c>
      <c r="AE56" s="2024"/>
      <c r="AF56" s="3161"/>
      <c r="AG56" s="1781">
        <v>0</v>
      </c>
      <c r="AH56" s="1067"/>
      <c r="AI56" s="67"/>
      <c r="AJ56" s="889">
        <f>ROUND(SUM(+AD56-AG56),1)</f>
        <v>34.200000000000003</v>
      </c>
      <c r="AK56" s="889"/>
      <c r="AL56" s="1721">
        <f>ROUND(IF(AG56=0,1,AJ56/ABS(AG56)),3)</f>
        <v>1</v>
      </c>
      <c r="AM56" s="1811"/>
    </row>
    <row r="57" spans="1:39" s="881" customFormat="1" ht="15" customHeight="1">
      <c r="A57" s="1064"/>
      <c r="B57" s="886" t="s">
        <v>978</v>
      </c>
      <c r="C57" s="107"/>
      <c r="D57" s="890">
        <f t="shared" si="6"/>
        <v>199.5</v>
      </c>
      <c r="E57" s="1523"/>
      <c r="F57" s="890"/>
      <c r="G57" s="1523"/>
      <c r="H57" s="890"/>
      <c r="I57" s="1523"/>
      <c r="J57" s="890"/>
      <c r="K57" s="1529"/>
      <c r="L57" s="890"/>
      <c r="M57" s="1529"/>
      <c r="N57" s="890"/>
      <c r="O57" s="1529"/>
      <c r="P57" s="890"/>
      <c r="Q57" s="1990"/>
      <c r="R57" s="1781"/>
      <c r="S57" s="1990"/>
      <c r="T57" s="1781"/>
      <c r="U57" s="1990"/>
      <c r="V57" s="1781"/>
      <c r="W57" s="1990"/>
      <c r="X57" s="1781"/>
      <c r="Y57" s="1990"/>
      <c r="Z57" s="1781"/>
      <c r="AA57" s="1991"/>
      <c r="AB57" s="1992"/>
      <c r="AC57" s="1994"/>
      <c r="AD57" s="1781">
        <v>199.5</v>
      </c>
      <c r="AE57" s="2024"/>
      <c r="AF57" s="3161"/>
      <c r="AG57" s="1781">
        <v>157</v>
      </c>
      <c r="AH57" s="1067"/>
      <c r="AI57" s="67"/>
      <c r="AJ57" s="889">
        <f>ROUND(SUM(+AD57-AG57),1)</f>
        <v>42.5</v>
      </c>
      <c r="AK57" s="889"/>
      <c r="AL57" s="1810">
        <f>ROUND(IF(AG57=0,0,AJ57/ABS(AG57)),3)</f>
        <v>0.27100000000000002</v>
      </c>
      <c r="AM57" s="1811"/>
    </row>
    <row r="58" spans="1:39" s="881" customFormat="1" ht="15" customHeight="1">
      <c r="A58" s="1064"/>
      <c r="B58" s="886" t="s">
        <v>979</v>
      </c>
      <c r="C58" s="107"/>
      <c r="D58" s="890">
        <f t="shared" si="6"/>
        <v>75.900000000000006</v>
      </c>
      <c r="E58" s="1523"/>
      <c r="F58" s="890"/>
      <c r="G58" s="1523"/>
      <c r="H58" s="890"/>
      <c r="I58" s="1523"/>
      <c r="J58" s="890"/>
      <c r="K58" s="1529"/>
      <c r="L58" s="890"/>
      <c r="M58" s="1529"/>
      <c r="N58" s="890"/>
      <c r="O58" s="1529"/>
      <c r="P58" s="890"/>
      <c r="Q58" s="1990"/>
      <c r="R58" s="1781"/>
      <c r="S58" s="1990"/>
      <c r="T58" s="1781"/>
      <c r="U58" s="1990"/>
      <c r="V58" s="1781"/>
      <c r="W58" s="1990"/>
      <c r="X58" s="1781"/>
      <c r="Y58" s="1990"/>
      <c r="Z58" s="1781"/>
      <c r="AA58" s="1991"/>
      <c r="AB58" s="1992"/>
      <c r="AC58" s="1994"/>
      <c r="AD58" s="1781">
        <v>75.900000000000006</v>
      </c>
      <c r="AE58" s="2024"/>
      <c r="AF58" s="3161"/>
      <c r="AG58" s="1781">
        <v>0</v>
      </c>
      <c r="AH58" s="1067"/>
      <c r="AI58" s="67"/>
      <c r="AJ58" s="889">
        <f>ROUND(SUM(+AD58-AG58),1)</f>
        <v>75.900000000000006</v>
      </c>
      <c r="AK58" s="889"/>
      <c r="AL58" s="1810">
        <f>ROUND(IF(AG58=0,1,AJ58/ABS(AG58)),3)</f>
        <v>1</v>
      </c>
      <c r="AM58" s="1811"/>
    </row>
    <row r="59" spans="1:39" ht="15" customHeight="1">
      <c r="A59" s="150"/>
      <c r="B59" s="886" t="s">
        <v>935</v>
      </c>
      <c r="C59" s="31"/>
      <c r="D59" s="890">
        <f t="shared" si="6"/>
        <v>3.5</v>
      </c>
      <c r="E59" s="1523"/>
      <c r="F59" s="890"/>
      <c r="G59" s="1523"/>
      <c r="H59" s="890"/>
      <c r="I59" s="1523"/>
      <c r="J59" s="890"/>
      <c r="K59" s="1529"/>
      <c r="L59" s="890"/>
      <c r="M59" s="1529"/>
      <c r="N59" s="890"/>
      <c r="O59" s="1529"/>
      <c r="P59" s="890"/>
      <c r="Q59" s="1990"/>
      <c r="R59" s="1781"/>
      <c r="S59" s="1990"/>
      <c r="T59" s="1781"/>
      <c r="U59" s="1990"/>
      <c r="V59" s="1781"/>
      <c r="W59" s="1990"/>
      <c r="X59" s="1781"/>
      <c r="Y59" s="1990"/>
      <c r="Z59" s="1781"/>
      <c r="AA59" s="1991"/>
      <c r="AB59" s="1992"/>
      <c r="AC59" s="1994"/>
      <c r="AD59" s="1781">
        <v>3.5</v>
      </c>
      <c r="AE59" s="2024"/>
      <c r="AF59" s="3161"/>
      <c r="AG59" s="1781">
        <v>13.5</v>
      </c>
      <c r="AH59" s="275"/>
      <c r="AI59" s="56"/>
      <c r="AJ59" s="639">
        <f>ROUND(SUM(+AD59-AG59),1)</f>
        <v>-10</v>
      </c>
      <c r="AK59" s="639"/>
      <c r="AL59" s="1425">
        <f>ROUND(IF(AG59=0,0,AJ59/ABS(AG59)),3)</f>
        <v>-0.74099999999999999</v>
      </c>
      <c r="AM59" s="778"/>
    </row>
    <row r="60" spans="1:39" s="881" customFormat="1" ht="15" customHeight="1">
      <c r="A60" s="1064"/>
      <c r="B60" s="886" t="s">
        <v>953</v>
      </c>
      <c r="C60" s="107"/>
      <c r="D60" s="890">
        <f>$AD60</f>
        <v>6.7</v>
      </c>
      <c r="E60" s="1523"/>
      <c r="F60" s="890"/>
      <c r="G60" s="1523"/>
      <c r="H60" s="890"/>
      <c r="I60" s="1523"/>
      <c r="J60" s="890"/>
      <c r="K60" s="1529"/>
      <c r="L60" s="890"/>
      <c r="M60" s="1529"/>
      <c r="N60" s="890"/>
      <c r="O60" s="1529"/>
      <c r="P60" s="890"/>
      <c r="Q60" s="1990"/>
      <c r="R60" s="1781"/>
      <c r="S60" s="1990"/>
      <c r="T60" s="1781"/>
      <c r="U60" s="1990"/>
      <c r="V60" s="1781"/>
      <c r="W60" s="1990"/>
      <c r="X60" s="1781"/>
      <c r="Y60" s="1990"/>
      <c r="Z60" s="1781"/>
      <c r="AA60" s="1991"/>
      <c r="AB60" s="1992"/>
      <c r="AC60" s="1994"/>
      <c r="AD60" s="1781">
        <v>6.7</v>
      </c>
      <c r="AE60" s="2024"/>
      <c r="AF60" s="3161"/>
      <c r="AG60" s="1781">
        <v>9.2999999999999989</v>
      </c>
      <c r="AH60" s="1067"/>
      <c r="AI60" s="67"/>
      <c r="AJ60" s="889">
        <f>ROUND(SUM(+AD60-AG60),1)</f>
        <v>-2.6</v>
      </c>
      <c r="AK60" s="889"/>
      <c r="AL60" s="1810">
        <f>ROUND(IF(AG60=0,0,AJ60/ABS(AG60)),3)</f>
        <v>-0.28000000000000003</v>
      </c>
      <c r="AM60" s="1811"/>
    </row>
    <row r="61" spans="1:39" s="881" customFormat="1" ht="15" customHeight="1">
      <c r="A61" s="1064"/>
      <c r="B61" s="886" t="s">
        <v>1056</v>
      </c>
      <c r="C61" s="107"/>
      <c r="D61" s="890" t="s">
        <v>14</v>
      </c>
      <c r="E61" s="1523"/>
      <c r="F61" s="890"/>
      <c r="G61" s="1523"/>
      <c r="H61" s="890"/>
      <c r="I61" s="1523"/>
      <c r="J61" s="890"/>
      <c r="K61" s="118"/>
      <c r="L61" s="890"/>
      <c r="M61" s="118"/>
      <c r="N61" s="890"/>
      <c r="O61" s="118"/>
      <c r="P61" s="890"/>
      <c r="Q61" s="1987"/>
      <c r="R61" s="1781"/>
      <c r="S61" s="1987"/>
      <c r="T61" s="1781"/>
      <c r="U61" s="1987"/>
      <c r="V61" s="1781"/>
      <c r="W61" s="1987"/>
      <c r="X61" s="1781"/>
      <c r="Y61" s="1987"/>
      <c r="Z61" s="1781"/>
      <c r="AA61" s="1986"/>
      <c r="AB61" s="1987"/>
      <c r="AC61" s="2031"/>
      <c r="AD61" s="1987"/>
      <c r="AE61" s="1987"/>
      <c r="AF61" s="1989"/>
      <c r="AG61" s="1987"/>
      <c r="AH61" s="1067"/>
      <c r="AI61" s="67"/>
      <c r="AJ61" s="889"/>
      <c r="AK61" s="889"/>
      <c r="AL61" s="1810"/>
      <c r="AM61" s="1811"/>
    </row>
    <row r="62" spans="1:39" s="881" customFormat="1" ht="15" customHeight="1">
      <c r="A62" s="1064"/>
      <c r="B62" s="886" t="s">
        <v>980</v>
      </c>
      <c r="C62" s="107"/>
      <c r="D62" s="890">
        <f t="shared" si="6"/>
        <v>0</v>
      </c>
      <c r="E62" s="1523"/>
      <c r="F62" s="890"/>
      <c r="G62" s="1523"/>
      <c r="H62" s="890"/>
      <c r="I62" s="1523"/>
      <c r="J62" s="890"/>
      <c r="K62" s="1529"/>
      <c r="L62" s="890"/>
      <c r="M62" s="1529"/>
      <c r="N62" s="890"/>
      <c r="O62" s="1529"/>
      <c r="P62" s="890"/>
      <c r="Q62" s="1990"/>
      <c r="R62" s="1781"/>
      <c r="S62" s="1990"/>
      <c r="T62" s="1781"/>
      <c r="U62" s="1990"/>
      <c r="V62" s="1781"/>
      <c r="W62" s="1990"/>
      <c r="X62" s="1781"/>
      <c r="Y62" s="1990"/>
      <c r="Z62" s="1781"/>
      <c r="AA62" s="1991"/>
      <c r="AB62" s="1992"/>
      <c r="AC62" s="1994"/>
      <c r="AD62" s="1781">
        <v>0</v>
      </c>
      <c r="AE62" s="2024"/>
      <c r="AF62" s="3161"/>
      <c r="AG62" s="1781">
        <v>0</v>
      </c>
      <c r="AH62" s="1067"/>
      <c r="AI62" s="67"/>
      <c r="AJ62" s="889">
        <f t="shared" ref="AJ62:AJ66" si="9">ROUND(SUM(+AD62-AG62),1)</f>
        <v>0</v>
      </c>
      <c r="AK62" s="889"/>
      <c r="AL62" s="1810">
        <f>ROUND(IF(AG62=0,0,AJ62/ABS(AG62)),3)</f>
        <v>0</v>
      </c>
      <c r="AM62" s="1811"/>
    </row>
    <row r="63" spans="1:39" s="881" customFormat="1" ht="15" customHeight="1">
      <c r="A63" s="1064"/>
      <c r="B63" s="886" t="s">
        <v>981</v>
      </c>
      <c r="C63" s="107"/>
      <c r="D63" s="890">
        <f t="shared" si="6"/>
        <v>0</v>
      </c>
      <c r="E63" s="1523"/>
      <c r="F63" s="890"/>
      <c r="G63" s="1523"/>
      <c r="H63" s="890"/>
      <c r="I63" s="1523"/>
      <c r="J63" s="890"/>
      <c r="K63" s="1529"/>
      <c r="L63" s="890"/>
      <c r="M63" s="1529"/>
      <c r="N63" s="890"/>
      <c r="O63" s="1529"/>
      <c r="P63" s="890"/>
      <c r="Q63" s="1990"/>
      <c r="R63" s="1781"/>
      <c r="S63" s="1990"/>
      <c r="T63" s="1781"/>
      <c r="U63" s="1990"/>
      <c r="V63" s="1781"/>
      <c r="W63" s="1990"/>
      <c r="X63" s="1781"/>
      <c r="Y63" s="1990"/>
      <c r="Z63" s="1781"/>
      <c r="AA63" s="1991"/>
      <c r="AB63" s="1992"/>
      <c r="AC63" s="1994"/>
      <c r="AD63" s="1781">
        <v>0</v>
      </c>
      <c r="AE63" s="2024"/>
      <c r="AF63" s="3161"/>
      <c r="AG63" s="1781">
        <v>0</v>
      </c>
      <c r="AH63" s="1067"/>
      <c r="AI63" s="67"/>
      <c r="AJ63" s="889">
        <f t="shared" si="9"/>
        <v>0</v>
      </c>
      <c r="AK63" s="889"/>
      <c r="AL63" s="1810">
        <f>ROUND(IF(AG63=0,0,AJ63/ABS(AG63)),3)</f>
        <v>0</v>
      </c>
      <c r="AM63" s="1811"/>
    </row>
    <row r="64" spans="1:39" s="881" customFormat="1" ht="15" customHeight="1">
      <c r="A64" s="1064"/>
      <c r="B64" s="886" t="s">
        <v>982</v>
      </c>
      <c r="C64" s="107"/>
      <c r="D64" s="890">
        <f t="shared" si="6"/>
        <v>2.7</v>
      </c>
      <c r="E64" s="1523"/>
      <c r="F64" s="890"/>
      <c r="G64" s="1523"/>
      <c r="H64" s="890"/>
      <c r="I64" s="1523"/>
      <c r="J64" s="890"/>
      <c r="K64" s="1529"/>
      <c r="L64" s="890"/>
      <c r="M64" s="1529"/>
      <c r="N64" s="890"/>
      <c r="O64" s="1529"/>
      <c r="P64" s="890"/>
      <c r="Q64" s="1990"/>
      <c r="R64" s="1781"/>
      <c r="S64" s="1990"/>
      <c r="T64" s="1781"/>
      <c r="U64" s="1990"/>
      <c r="V64" s="1781"/>
      <c r="W64" s="1990"/>
      <c r="X64" s="1781"/>
      <c r="Y64" s="1990"/>
      <c r="Z64" s="1781"/>
      <c r="AA64" s="1991"/>
      <c r="AB64" s="1992"/>
      <c r="AC64" s="1994"/>
      <c r="AD64" s="1781">
        <v>2.7</v>
      </c>
      <c r="AE64" s="2024"/>
      <c r="AF64" s="3161"/>
      <c r="AG64" s="1781">
        <v>0.5</v>
      </c>
      <c r="AH64" s="1067"/>
      <c r="AI64" s="67"/>
      <c r="AJ64" s="889">
        <f t="shared" si="9"/>
        <v>2.2000000000000002</v>
      </c>
      <c r="AK64" s="889"/>
      <c r="AL64" s="1821">
        <f>ROUND(IF(AG64=0,0,AJ64/ABS(AG64)),3)</f>
        <v>4.4000000000000004</v>
      </c>
      <c r="AM64" s="1811"/>
    </row>
    <row r="65" spans="1:39" s="881" customFormat="1" ht="15" customHeight="1">
      <c r="A65" s="1064"/>
      <c r="B65" s="886" t="s">
        <v>983</v>
      </c>
      <c r="C65" s="107"/>
      <c r="D65" s="890">
        <f t="shared" si="6"/>
        <v>0.2</v>
      </c>
      <c r="E65" s="1523"/>
      <c r="F65" s="890"/>
      <c r="G65" s="1523"/>
      <c r="H65" s="890"/>
      <c r="I65" s="1523"/>
      <c r="J65" s="890"/>
      <c r="K65" s="1529"/>
      <c r="L65" s="890"/>
      <c r="M65" s="1529"/>
      <c r="N65" s="890"/>
      <c r="O65" s="1529"/>
      <c r="P65" s="890"/>
      <c r="Q65" s="1990"/>
      <c r="R65" s="1781"/>
      <c r="S65" s="1990"/>
      <c r="T65" s="1781"/>
      <c r="U65" s="1990"/>
      <c r="V65" s="1781"/>
      <c r="W65" s="1990"/>
      <c r="X65" s="1781"/>
      <c r="Y65" s="1990"/>
      <c r="Z65" s="1781"/>
      <c r="AA65" s="1991"/>
      <c r="AB65" s="1992"/>
      <c r="AC65" s="1994"/>
      <c r="AD65" s="1781">
        <v>0.2</v>
      </c>
      <c r="AE65" s="2024"/>
      <c r="AF65" s="3161"/>
      <c r="AG65" s="1781">
        <v>8.9</v>
      </c>
      <c r="AH65" s="1067"/>
      <c r="AI65" s="67"/>
      <c r="AJ65" s="889">
        <f t="shared" si="9"/>
        <v>-8.6999999999999993</v>
      </c>
      <c r="AK65" s="889"/>
      <c r="AL65" s="1821">
        <f t="shared" ref="AL65:AL66" si="10">ROUND(IF(AG65=0,0,AJ65/ABS(AG65)),3)</f>
        <v>-0.97799999999999998</v>
      </c>
      <c r="AM65" s="1811"/>
    </row>
    <row r="66" spans="1:39" s="881" customFormat="1" ht="15" customHeight="1">
      <c r="A66" s="1064"/>
      <c r="B66" s="886" t="s">
        <v>954</v>
      </c>
      <c r="C66" s="107"/>
      <c r="D66" s="890">
        <f t="shared" si="6"/>
        <v>41.8</v>
      </c>
      <c r="E66" s="1523"/>
      <c r="F66" s="890"/>
      <c r="G66" s="1523"/>
      <c r="H66" s="890"/>
      <c r="I66" s="1523"/>
      <c r="J66" s="890"/>
      <c r="K66" s="1529"/>
      <c r="L66" s="890"/>
      <c r="M66" s="1529"/>
      <c r="N66" s="890"/>
      <c r="O66" s="1529"/>
      <c r="P66" s="890"/>
      <c r="Q66" s="1990"/>
      <c r="R66" s="1781"/>
      <c r="S66" s="1990"/>
      <c r="T66" s="1781"/>
      <c r="U66" s="1990"/>
      <c r="V66" s="1781"/>
      <c r="W66" s="1990"/>
      <c r="X66" s="1781"/>
      <c r="Y66" s="1990"/>
      <c r="Z66" s="1781"/>
      <c r="AA66" s="1991"/>
      <c r="AB66" s="1992"/>
      <c r="AC66" s="1994"/>
      <c r="AD66" s="1781">
        <v>41.8</v>
      </c>
      <c r="AE66" s="2024"/>
      <c r="AF66" s="3161"/>
      <c r="AG66" s="1781">
        <v>-5.3</v>
      </c>
      <c r="AH66" s="1067"/>
      <c r="AI66" s="67"/>
      <c r="AJ66" s="889">
        <f t="shared" si="9"/>
        <v>47.1</v>
      </c>
      <c r="AK66" s="889"/>
      <c r="AL66" s="1821">
        <f t="shared" si="10"/>
        <v>8.8870000000000005</v>
      </c>
      <c r="AM66" s="1811"/>
    </row>
    <row r="67" spans="1:39" s="881" customFormat="1" ht="17.25" customHeight="1">
      <c r="A67" s="1064"/>
      <c r="B67" s="886" t="s">
        <v>1057</v>
      </c>
      <c r="C67" s="107"/>
      <c r="D67" s="890" t="s">
        <v>14</v>
      </c>
      <c r="E67" s="1523"/>
      <c r="F67" s="890"/>
      <c r="G67" s="1523"/>
      <c r="H67" s="890"/>
      <c r="I67" s="1523"/>
      <c r="J67" s="890"/>
      <c r="K67" s="118"/>
      <c r="L67" s="890"/>
      <c r="M67" s="118"/>
      <c r="N67" s="890"/>
      <c r="O67" s="118"/>
      <c r="P67" s="890"/>
      <c r="Q67" s="1987"/>
      <c r="R67" s="1781"/>
      <c r="S67" s="1987"/>
      <c r="T67" s="1781"/>
      <c r="U67" s="1987"/>
      <c r="V67" s="1781"/>
      <c r="W67" s="1987"/>
      <c r="X67" s="1781"/>
      <c r="Y67" s="1987"/>
      <c r="Z67" s="1781"/>
      <c r="AA67" s="1986"/>
      <c r="AB67" s="1987"/>
      <c r="AC67" s="2031"/>
      <c r="AD67" s="1987"/>
      <c r="AE67" s="1987"/>
      <c r="AF67" s="1989"/>
      <c r="AG67" s="1987"/>
      <c r="AH67" s="1067"/>
      <c r="AI67" s="67"/>
      <c r="AJ67" s="889"/>
      <c r="AK67" s="889"/>
      <c r="AL67" s="1810"/>
      <c r="AM67" s="1811"/>
    </row>
    <row r="68" spans="1:39" s="881" customFormat="1" ht="15" customHeight="1">
      <c r="A68" s="1064"/>
      <c r="B68" s="886" t="s">
        <v>984</v>
      </c>
      <c r="C68" s="107"/>
      <c r="D68" s="890">
        <f t="shared" si="6"/>
        <v>45</v>
      </c>
      <c r="E68" s="1523"/>
      <c r="F68" s="890"/>
      <c r="G68" s="1523"/>
      <c r="H68" s="890"/>
      <c r="I68" s="1523"/>
      <c r="J68" s="890"/>
      <c r="K68" s="1529"/>
      <c r="L68" s="890"/>
      <c r="M68" s="1529"/>
      <c r="N68" s="890"/>
      <c r="O68" s="1529"/>
      <c r="P68" s="890"/>
      <c r="Q68" s="1990"/>
      <c r="R68" s="1781"/>
      <c r="S68" s="1990"/>
      <c r="T68" s="1781"/>
      <c r="U68" s="1990"/>
      <c r="V68" s="1781"/>
      <c r="W68" s="1990"/>
      <c r="X68" s="1781"/>
      <c r="Y68" s="1990"/>
      <c r="Z68" s="1781"/>
      <c r="AA68" s="1991"/>
      <c r="AB68" s="1992"/>
      <c r="AC68" s="1994"/>
      <c r="AD68" s="1781">
        <v>45</v>
      </c>
      <c r="AE68" s="2024"/>
      <c r="AF68" s="3161"/>
      <c r="AG68" s="1781">
        <v>24.599999999999998</v>
      </c>
      <c r="AH68" s="1067"/>
      <c r="AI68" s="67"/>
      <c r="AJ68" s="889">
        <f t="shared" ref="AJ68:AJ79" si="11">ROUND(SUM(+AD68-AG68),1)</f>
        <v>20.399999999999999</v>
      </c>
      <c r="AK68" s="889"/>
      <c r="AL68" s="1821">
        <f>ROUND(IF(AG68=0,0,AJ68/ABS(AG68)),3)</f>
        <v>0.82899999999999996</v>
      </c>
      <c r="AM68" s="1811" t="s">
        <v>14</v>
      </c>
    </row>
    <row r="69" spans="1:39" s="881" customFormat="1" ht="15" customHeight="1">
      <c r="A69" s="1064"/>
      <c r="B69" s="886" t="s">
        <v>985</v>
      </c>
      <c r="C69" s="107"/>
      <c r="D69" s="890">
        <f t="shared" si="6"/>
        <v>0.5</v>
      </c>
      <c r="E69" s="1523"/>
      <c r="F69" s="890"/>
      <c r="G69" s="1523"/>
      <c r="H69" s="890"/>
      <c r="I69" s="1523"/>
      <c r="J69" s="890"/>
      <c r="K69" s="1529"/>
      <c r="L69" s="890"/>
      <c r="M69" s="1529"/>
      <c r="N69" s="890"/>
      <c r="O69" s="1529"/>
      <c r="P69" s="890"/>
      <c r="Q69" s="1990"/>
      <c r="R69" s="1781"/>
      <c r="S69" s="1990"/>
      <c r="T69" s="1781"/>
      <c r="U69" s="1990"/>
      <c r="V69" s="1781"/>
      <c r="W69" s="1990"/>
      <c r="X69" s="1781"/>
      <c r="Y69" s="1990"/>
      <c r="Z69" s="1781"/>
      <c r="AA69" s="1991"/>
      <c r="AB69" s="1992"/>
      <c r="AC69" s="1994"/>
      <c r="AD69" s="1781">
        <v>0.5</v>
      </c>
      <c r="AE69" s="2024"/>
      <c r="AF69" s="3161"/>
      <c r="AG69" s="1781">
        <v>0.2</v>
      </c>
      <c r="AH69" s="1067"/>
      <c r="AI69" s="67"/>
      <c r="AJ69" s="889">
        <f t="shared" si="11"/>
        <v>0.3</v>
      </c>
      <c r="AK69" s="889"/>
      <c r="AL69" s="1821">
        <f>ROUND(IF(AG69=0,1,AJ69/ABS(AG69)),3)</f>
        <v>1.5</v>
      </c>
      <c r="AM69" s="1811"/>
    </row>
    <row r="70" spans="1:39" s="881" customFormat="1" ht="15" customHeight="1">
      <c r="A70" s="1064"/>
      <c r="B70" s="886" t="s">
        <v>1268</v>
      </c>
      <c r="C70" s="107"/>
      <c r="D70" s="890">
        <f t="shared" si="6"/>
        <v>0</v>
      </c>
      <c r="E70" s="1523"/>
      <c r="F70" s="890"/>
      <c r="G70" s="1523"/>
      <c r="H70" s="890"/>
      <c r="I70" s="1523"/>
      <c r="J70" s="890"/>
      <c r="K70" s="1529"/>
      <c r="L70" s="890"/>
      <c r="M70" s="1529"/>
      <c r="N70" s="890"/>
      <c r="O70" s="1529"/>
      <c r="P70" s="890"/>
      <c r="Q70" s="1990"/>
      <c r="R70" s="1781"/>
      <c r="S70" s="1990"/>
      <c r="T70" s="1781"/>
      <c r="U70" s="1990"/>
      <c r="V70" s="1781"/>
      <c r="W70" s="1990"/>
      <c r="X70" s="1781"/>
      <c r="Y70" s="1990"/>
      <c r="Z70" s="1781"/>
      <c r="AA70" s="1991"/>
      <c r="AB70" s="1992"/>
      <c r="AC70" s="1994"/>
      <c r="AD70" s="1781">
        <v>0</v>
      </c>
      <c r="AE70" s="2024"/>
      <c r="AF70" s="3163"/>
      <c r="AG70" s="1781">
        <v>0</v>
      </c>
      <c r="AH70" s="1067"/>
      <c r="AI70" s="67"/>
      <c r="AJ70" s="889">
        <f t="shared" si="11"/>
        <v>0</v>
      </c>
      <c r="AK70" s="889"/>
      <c r="AL70" s="1810">
        <f>ROUND(IF(AG70=0,0,AJ70/ABS(AG70)),3)</f>
        <v>0</v>
      </c>
      <c r="AM70" s="1811"/>
    </row>
    <row r="71" spans="1:39" s="881" customFormat="1" ht="15" customHeight="1">
      <c r="A71" s="1064"/>
      <c r="B71" s="886" t="s">
        <v>986</v>
      </c>
      <c r="C71" s="107"/>
      <c r="D71" s="890">
        <f t="shared" si="6"/>
        <v>0.7</v>
      </c>
      <c r="E71" s="1523"/>
      <c r="F71" s="890"/>
      <c r="G71" s="1523"/>
      <c r="H71" s="890"/>
      <c r="I71" s="1523"/>
      <c r="J71" s="890"/>
      <c r="K71" s="1529"/>
      <c r="L71" s="890"/>
      <c r="M71" s="1529"/>
      <c r="N71" s="890"/>
      <c r="O71" s="1529"/>
      <c r="P71" s="890"/>
      <c r="Q71" s="1990"/>
      <c r="R71" s="1781"/>
      <c r="S71" s="1990"/>
      <c r="T71" s="1781"/>
      <c r="U71" s="1990"/>
      <c r="V71" s="1781"/>
      <c r="W71" s="1990"/>
      <c r="X71" s="1781"/>
      <c r="Y71" s="1990"/>
      <c r="Z71" s="1781"/>
      <c r="AA71" s="1991"/>
      <c r="AB71" s="1992"/>
      <c r="AC71" s="1994"/>
      <c r="AD71" s="1781">
        <v>0.7</v>
      </c>
      <c r="AE71" s="2024"/>
      <c r="AF71" s="3161"/>
      <c r="AG71" s="1781">
        <v>0.6</v>
      </c>
      <c r="AH71" s="1067"/>
      <c r="AI71" s="67"/>
      <c r="AJ71" s="889">
        <f t="shared" si="11"/>
        <v>0.1</v>
      </c>
      <c r="AK71" s="889"/>
      <c r="AL71" s="1821">
        <f t="shared" ref="AL71:AL74" si="12">ROUND(IF(AG71=0,0,AJ71/ABS(AG71)),3)</f>
        <v>0.16700000000000001</v>
      </c>
      <c r="AM71" s="1811"/>
    </row>
    <row r="72" spans="1:39" s="881" customFormat="1" ht="15" customHeight="1">
      <c r="A72" s="1064"/>
      <c r="B72" s="886" t="s">
        <v>987</v>
      </c>
      <c r="C72" s="107"/>
      <c r="D72" s="890">
        <f t="shared" si="6"/>
        <v>0</v>
      </c>
      <c r="E72" s="1523"/>
      <c r="F72" s="890"/>
      <c r="G72" s="1523"/>
      <c r="H72" s="890"/>
      <c r="I72" s="1523"/>
      <c r="J72" s="890"/>
      <c r="K72" s="1529"/>
      <c r="L72" s="890"/>
      <c r="M72" s="1529"/>
      <c r="N72" s="890"/>
      <c r="O72" s="1529"/>
      <c r="P72" s="890"/>
      <c r="Q72" s="1990"/>
      <c r="R72" s="1781"/>
      <c r="S72" s="1990"/>
      <c r="T72" s="1781"/>
      <c r="U72" s="1990"/>
      <c r="V72" s="1781"/>
      <c r="W72" s="1990"/>
      <c r="X72" s="1781"/>
      <c r="Y72" s="1990"/>
      <c r="Z72" s="1781"/>
      <c r="AA72" s="1991"/>
      <c r="AB72" s="1992"/>
      <c r="AC72" s="1994"/>
      <c r="AD72" s="1781">
        <v>0</v>
      </c>
      <c r="AE72" s="2024"/>
      <c r="AF72" s="3161"/>
      <c r="AG72" s="1781">
        <v>0</v>
      </c>
      <c r="AH72" s="1067"/>
      <c r="AI72" s="67"/>
      <c r="AJ72" s="889">
        <f t="shared" si="11"/>
        <v>0</v>
      </c>
      <c r="AK72" s="889"/>
      <c r="AL72" s="1821">
        <f>ROUND(IF(AG72=0,0,AJ72/ABS(AG72)),3)</f>
        <v>0</v>
      </c>
      <c r="AM72" s="1811"/>
    </row>
    <row r="73" spans="1:39" s="881" customFormat="1" ht="15" customHeight="1">
      <c r="A73" s="1064"/>
      <c r="B73" s="886" t="s">
        <v>988</v>
      </c>
      <c r="C73" s="107"/>
      <c r="D73" s="890">
        <f t="shared" si="6"/>
        <v>214.29999999999998</v>
      </c>
      <c r="E73" s="1523"/>
      <c r="F73" s="890"/>
      <c r="G73" s="1523"/>
      <c r="H73" s="890"/>
      <c r="I73" s="1523"/>
      <c r="J73" s="890"/>
      <c r="K73" s="1529"/>
      <c r="L73" s="890"/>
      <c r="M73" s="1529"/>
      <c r="N73" s="890"/>
      <c r="O73" s="1529"/>
      <c r="P73" s="890"/>
      <c r="Q73" s="1990"/>
      <c r="R73" s="1781"/>
      <c r="S73" s="1990"/>
      <c r="T73" s="1781"/>
      <c r="U73" s="1990"/>
      <c r="V73" s="1781"/>
      <c r="W73" s="1990"/>
      <c r="X73" s="1781"/>
      <c r="Y73" s="1990"/>
      <c r="Z73" s="1781"/>
      <c r="AA73" s="1991"/>
      <c r="AB73" s="1992"/>
      <c r="AC73" s="1994"/>
      <c r="AD73" s="1781">
        <v>214.29999999999998</v>
      </c>
      <c r="AE73" s="2024"/>
      <c r="AF73" s="3161"/>
      <c r="AG73" s="1781">
        <v>483</v>
      </c>
      <c r="AH73" s="1067"/>
      <c r="AI73" s="67"/>
      <c r="AJ73" s="889">
        <f t="shared" si="11"/>
        <v>-268.7</v>
      </c>
      <c r="AK73" s="889"/>
      <c r="AL73" s="1810">
        <f t="shared" si="12"/>
        <v>-0.55600000000000005</v>
      </c>
      <c r="AM73" s="1811"/>
    </row>
    <row r="74" spans="1:39" s="881" customFormat="1" ht="15" customHeight="1">
      <c r="A74" s="1064"/>
      <c r="B74" s="886" t="s">
        <v>989</v>
      </c>
      <c r="C74" s="107"/>
      <c r="D74" s="890">
        <f t="shared" si="6"/>
        <v>4.7</v>
      </c>
      <c r="E74" s="1523"/>
      <c r="F74" s="890"/>
      <c r="G74" s="1523"/>
      <c r="H74" s="890"/>
      <c r="I74" s="1523"/>
      <c r="J74" s="890"/>
      <c r="K74" s="1529"/>
      <c r="L74" s="890"/>
      <c r="M74" s="1529"/>
      <c r="N74" s="890"/>
      <c r="O74" s="1529"/>
      <c r="P74" s="890"/>
      <c r="Q74" s="1990"/>
      <c r="R74" s="1781"/>
      <c r="S74" s="1990"/>
      <c r="T74" s="1781"/>
      <c r="U74" s="1990"/>
      <c r="V74" s="1781"/>
      <c r="W74" s="1990"/>
      <c r="X74" s="1781"/>
      <c r="Y74" s="1990"/>
      <c r="Z74" s="1781"/>
      <c r="AA74" s="1991"/>
      <c r="AB74" s="1992"/>
      <c r="AC74" s="1994"/>
      <c r="AD74" s="1781">
        <v>4.7</v>
      </c>
      <c r="AE74" s="2024"/>
      <c r="AF74" s="3161"/>
      <c r="AG74" s="1781">
        <v>0.1</v>
      </c>
      <c r="AH74" s="1067"/>
      <c r="AI74" s="67"/>
      <c r="AJ74" s="889">
        <f t="shared" si="11"/>
        <v>4.5999999999999996</v>
      </c>
      <c r="AK74" s="889"/>
      <c r="AL74" s="1821">
        <f t="shared" si="12"/>
        <v>46</v>
      </c>
      <c r="AM74" s="1811"/>
    </row>
    <row r="75" spans="1:39" s="881" customFormat="1" ht="15" customHeight="1">
      <c r="A75" s="1064"/>
      <c r="B75" s="886" t="s">
        <v>990</v>
      </c>
      <c r="C75" s="107"/>
      <c r="D75" s="890">
        <f t="shared" si="6"/>
        <v>1.2</v>
      </c>
      <c r="E75" s="1523"/>
      <c r="F75" s="890"/>
      <c r="G75" s="1523"/>
      <c r="H75" s="890"/>
      <c r="I75" s="1523"/>
      <c r="J75" s="890"/>
      <c r="K75" s="1529"/>
      <c r="L75" s="890"/>
      <c r="M75" s="1529"/>
      <c r="N75" s="890"/>
      <c r="O75" s="1529"/>
      <c r="P75" s="890"/>
      <c r="Q75" s="1990"/>
      <c r="R75" s="1781"/>
      <c r="S75" s="1990"/>
      <c r="T75" s="1781"/>
      <c r="U75" s="1990"/>
      <c r="V75" s="1781"/>
      <c r="W75" s="1990"/>
      <c r="X75" s="1781"/>
      <c r="Y75" s="1990"/>
      <c r="Z75" s="1781"/>
      <c r="AA75" s="1991"/>
      <c r="AB75" s="1992"/>
      <c r="AC75" s="1994"/>
      <c r="AD75" s="1781">
        <v>1.2</v>
      </c>
      <c r="AE75" s="2024"/>
      <c r="AF75" s="3161"/>
      <c r="AG75" s="1781">
        <v>3.7</v>
      </c>
      <c r="AH75" s="1067"/>
      <c r="AI75" s="67"/>
      <c r="AJ75" s="889">
        <f t="shared" si="11"/>
        <v>-2.5</v>
      </c>
      <c r="AK75" s="889"/>
      <c r="AL75" s="1821">
        <f>ROUND(IF(AG75=0,1,AJ75/ABS(AG75)),3)</f>
        <v>-0.67600000000000005</v>
      </c>
      <c r="AM75" s="1811"/>
    </row>
    <row r="76" spans="1:39" s="881" customFormat="1" ht="15" customHeight="1">
      <c r="A76" s="1064"/>
      <c r="B76" s="886" t="s">
        <v>991</v>
      </c>
      <c r="C76" s="107"/>
      <c r="D76" s="890">
        <f t="shared" si="6"/>
        <v>2.4</v>
      </c>
      <c r="E76" s="889"/>
      <c r="F76" s="890"/>
      <c r="G76" s="889"/>
      <c r="H76" s="890"/>
      <c r="I76" s="889"/>
      <c r="J76" s="890"/>
      <c r="K76" s="1529"/>
      <c r="L76" s="890"/>
      <c r="M76" s="1529"/>
      <c r="N76" s="890"/>
      <c r="O76" s="1529"/>
      <c r="P76" s="890"/>
      <c r="Q76" s="1990"/>
      <c r="R76" s="1781"/>
      <c r="S76" s="1990"/>
      <c r="T76" s="1781"/>
      <c r="U76" s="1990"/>
      <c r="V76" s="1781"/>
      <c r="W76" s="1990"/>
      <c r="X76" s="1781"/>
      <c r="Y76" s="1990"/>
      <c r="Z76" s="1781"/>
      <c r="AA76" s="1991"/>
      <c r="AB76" s="1992"/>
      <c r="AC76" s="1994"/>
      <c r="AD76" s="1781">
        <v>2.4</v>
      </c>
      <c r="AE76" s="2024"/>
      <c r="AF76" s="3161"/>
      <c r="AG76" s="1781">
        <v>6.1</v>
      </c>
      <c r="AH76" s="1067"/>
      <c r="AI76" s="67"/>
      <c r="AJ76" s="889">
        <f t="shared" si="11"/>
        <v>-3.7</v>
      </c>
      <c r="AK76" s="889"/>
      <c r="AL76" s="1810">
        <f>ROUND(IF(AG76=0,0,AJ76/ABS(AG76)),3)</f>
        <v>-0.60699999999999998</v>
      </c>
      <c r="AM76" s="1811"/>
    </row>
    <row r="77" spans="1:39" s="881" customFormat="1" ht="15" customHeight="1">
      <c r="A77" s="1064"/>
      <c r="B77" s="886" t="s">
        <v>992</v>
      </c>
      <c r="C77" s="107"/>
      <c r="D77" s="890">
        <f t="shared" si="6"/>
        <v>64.599999999999994</v>
      </c>
      <c r="E77" s="889"/>
      <c r="F77" s="890"/>
      <c r="G77" s="889"/>
      <c r="H77" s="890"/>
      <c r="I77" s="889"/>
      <c r="J77" s="890"/>
      <c r="K77" s="1529"/>
      <c r="L77" s="890"/>
      <c r="M77" s="1529"/>
      <c r="N77" s="890"/>
      <c r="O77" s="1529"/>
      <c r="P77" s="890"/>
      <c r="Q77" s="1990"/>
      <c r="R77" s="1781"/>
      <c r="S77" s="1990"/>
      <c r="T77" s="1781"/>
      <c r="U77" s="1990"/>
      <c r="V77" s="1781"/>
      <c r="W77" s="1990"/>
      <c r="X77" s="1781"/>
      <c r="Y77" s="1990"/>
      <c r="Z77" s="1781"/>
      <c r="AA77" s="1991"/>
      <c r="AB77" s="1992"/>
      <c r="AC77" s="1993"/>
      <c r="AD77" s="1781">
        <v>64.599999999999994</v>
      </c>
      <c r="AE77" s="1992"/>
      <c r="AF77" s="1994"/>
      <c r="AG77" s="1781">
        <v>-24.9</v>
      </c>
      <c r="AH77" s="1067"/>
      <c r="AI77" s="67"/>
      <c r="AJ77" s="889">
        <f t="shared" si="11"/>
        <v>89.5</v>
      </c>
      <c r="AK77" s="889"/>
      <c r="AL77" s="1821">
        <f>ROUND(IF(AG77=0,0,AJ77/ABS(AG77)),3)</f>
        <v>3.5939999999999999</v>
      </c>
      <c r="AM77" s="1811"/>
    </row>
    <row r="78" spans="1:39" ht="15" customHeight="1">
      <c r="A78" s="150"/>
      <c r="B78" s="886" t="s">
        <v>964</v>
      </c>
      <c r="C78" s="31"/>
      <c r="D78" s="890">
        <f t="shared" si="6"/>
        <v>2.2000000000000002</v>
      </c>
      <c r="E78" s="889"/>
      <c r="F78" s="890"/>
      <c r="G78" s="889"/>
      <c r="H78" s="890"/>
      <c r="I78" s="889"/>
      <c r="J78" s="890"/>
      <c r="K78" s="1529"/>
      <c r="L78" s="890"/>
      <c r="M78" s="1529"/>
      <c r="N78" s="890"/>
      <c r="O78" s="1529"/>
      <c r="P78" s="890"/>
      <c r="Q78" s="1990"/>
      <c r="R78" s="1781"/>
      <c r="S78" s="1990"/>
      <c r="T78" s="1781"/>
      <c r="U78" s="1990"/>
      <c r="V78" s="1781"/>
      <c r="W78" s="1990"/>
      <c r="X78" s="1781"/>
      <c r="Y78" s="1990"/>
      <c r="Z78" s="1781"/>
      <c r="AA78" s="1991"/>
      <c r="AB78" s="1992"/>
      <c r="AC78" s="1993"/>
      <c r="AD78" s="1781">
        <v>2.2000000000000002</v>
      </c>
      <c r="AE78" s="1992"/>
      <c r="AF78" s="1994"/>
      <c r="AG78" s="1781">
        <v>0.5</v>
      </c>
      <c r="AH78" s="275"/>
      <c r="AI78" s="56"/>
      <c r="AJ78" s="639">
        <f t="shared" si="11"/>
        <v>1.7</v>
      </c>
      <c r="AK78" s="639"/>
      <c r="AL78" s="1425">
        <f>ROUND(IF(AG78=0,0,AJ78/ABS(AG78)),3)</f>
        <v>3.4</v>
      </c>
      <c r="AM78" s="778"/>
    </row>
    <row r="79" spans="1:39" s="881" customFormat="1" ht="15" customHeight="1">
      <c r="A79" s="1064"/>
      <c r="B79" s="886" t="s">
        <v>965</v>
      </c>
      <c r="C79" s="107"/>
      <c r="D79" s="890">
        <f t="shared" si="6"/>
        <v>-75.7</v>
      </c>
      <c r="E79" s="889"/>
      <c r="F79" s="890"/>
      <c r="G79" s="889"/>
      <c r="H79" s="890"/>
      <c r="I79" s="889"/>
      <c r="J79" s="890"/>
      <c r="K79" s="1529"/>
      <c r="L79" s="890"/>
      <c r="M79" s="1529"/>
      <c r="N79" s="890"/>
      <c r="O79" s="1529"/>
      <c r="P79" s="890"/>
      <c r="Q79" s="1990"/>
      <c r="R79" s="1781"/>
      <c r="S79" s="1990"/>
      <c r="T79" s="1781"/>
      <c r="U79" s="1990"/>
      <c r="V79" s="1781"/>
      <c r="W79" s="1990"/>
      <c r="X79" s="1781"/>
      <c r="Y79" s="1990"/>
      <c r="Z79" s="1781"/>
      <c r="AA79" s="1991"/>
      <c r="AB79" s="1992"/>
      <c r="AC79" s="1994"/>
      <c r="AD79" s="1781">
        <v>-75.7</v>
      </c>
      <c r="AE79" s="2024"/>
      <c r="AF79" s="3161"/>
      <c r="AG79" s="1781">
        <v>-67.5</v>
      </c>
      <c r="AH79" s="1067"/>
      <c r="AI79" s="67"/>
      <c r="AJ79" s="889">
        <f t="shared" si="11"/>
        <v>-8.1999999999999993</v>
      </c>
      <c r="AK79" s="889"/>
      <c r="AL79" s="1810">
        <f>ROUND(IF(AG79=0,0,AJ79/ABS(AG79)),3)</f>
        <v>-0.121</v>
      </c>
      <c r="AM79" s="1811"/>
    </row>
    <row r="80" spans="1:39" s="881" customFormat="1" ht="15" customHeight="1">
      <c r="A80" s="1064"/>
      <c r="B80" s="310" t="s">
        <v>1096</v>
      </c>
      <c r="C80" s="107"/>
      <c r="D80" s="1830">
        <f>ROUND(SUM(D41:D79),1)</f>
        <v>1319.2</v>
      </c>
      <c r="E80" s="889"/>
      <c r="F80" s="1830">
        <f>ROUND(SUM(F41:F79),1)</f>
        <v>0</v>
      </c>
      <c r="G80" s="889"/>
      <c r="H80" s="1830">
        <f>ROUND(SUM(H41:H79),1)</f>
        <v>0</v>
      </c>
      <c r="I80" s="889"/>
      <c r="J80" s="1830">
        <f>ROUND(SUM(J41:J79),1)</f>
        <v>0</v>
      </c>
      <c r="K80" s="118"/>
      <c r="L80" s="1531">
        <f>ROUND(SUM(L41:L79),1)</f>
        <v>0</v>
      </c>
      <c r="M80" s="118"/>
      <c r="N80" s="1531">
        <f>ROUND(SUM(N41:N79),1)</f>
        <v>0</v>
      </c>
      <c r="O80" s="118"/>
      <c r="P80" s="1453">
        <f>ROUND(SUM(P41:P79),1)</f>
        <v>0</v>
      </c>
      <c r="Q80" s="1987"/>
      <c r="R80" s="1453">
        <f>ROUND(SUM(R41:R79),1)</f>
        <v>0</v>
      </c>
      <c r="S80" s="1987"/>
      <c r="T80" s="1453">
        <f>ROUND(SUM(T41:T79),1)</f>
        <v>0</v>
      </c>
      <c r="U80" s="1987"/>
      <c r="V80" s="1453">
        <f>ROUND(SUM(V41:V79),1)</f>
        <v>0</v>
      </c>
      <c r="W80" s="1987"/>
      <c r="X80" s="1453">
        <f>ROUND(SUM(X41:X79),1)</f>
        <v>0</v>
      </c>
      <c r="Y80" s="1987"/>
      <c r="Z80" s="1453">
        <f>ROUND(SUM(Z41:Z79),1)</f>
        <v>0</v>
      </c>
      <c r="AA80" s="1455"/>
      <c r="AB80" s="1987"/>
      <c r="AC80" s="2031"/>
      <c r="AD80" s="1453">
        <f>ROUND(SUM(AD41:AD79),1)</f>
        <v>1319.2</v>
      </c>
      <c r="AE80" s="1987"/>
      <c r="AF80" s="1989"/>
      <c r="AG80" s="1453">
        <f>ROUND(SUM(AG41:AG79),1)</f>
        <v>1346.6</v>
      </c>
      <c r="AH80" s="1067"/>
      <c r="AI80" s="67"/>
      <c r="AJ80" s="1531">
        <f>ROUND(SUM(AJ41:AJ79),1)</f>
        <v>-27.4</v>
      </c>
      <c r="AK80" s="889"/>
      <c r="AL80" s="1812">
        <f>ROUND(SUM(+AJ80/AG80),3)</f>
        <v>-0.02</v>
      </c>
      <c r="AM80" s="1811"/>
    </row>
    <row r="81" spans="1:39" s="881" customFormat="1" ht="15" customHeight="1">
      <c r="A81" s="1064"/>
      <c r="B81" s="310"/>
      <c r="C81" s="107"/>
      <c r="D81" s="115"/>
      <c r="E81" s="889"/>
      <c r="F81" s="115"/>
      <c r="G81" s="889"/>
      <c r="H81" s="115"/>
      <c r="I81" s="889"/>
      <c r="J81" s="115"/>
      <c r="K81" s="118"/>
      <c r="L81" s="115"/>
      <c r="M81" s="118"/>
      <c r="N81" s="115"/>
      <c r="O81" s="118"/>
      <c r="P81" s="1455"/>
      <c r="Q81" s="1987"/>
      <c r="R81" s="1455"/>
      <c r="S81" s="1987"/>
      <c r="T81" s="1455"/>
      <c r="U81" s="1987"/>
      <c r="V81" s="1455"/>
      <c r="W81" s="1987"/>
      <c r="X81" s="1455"/>
      <c r="Y81" s="1987"/>
      <c r="Z81" s="1455"/>
      <c r="AA81" s="1455"/>
      <c r="AB81" s="1987"/>
      <c r="AC81" s="2031"/>
      <c r="AD81" s="1455"/>
      <c r="AE81" s="1987"/>
      <c r="AF81" s="1989"/>
      <c r="AG81" s="1455"/>
      <c r="AH81" s="1067"/>
      <c r="AI81" s="67"/>
      <c r="AJ81" s="115"/>
      <c r="AK81" s="889"/>
      <c r="AL81" s="1813"/>
      <c r="AM81" s="1811"/>
    </row>
    <row r="82" spans="1:39" s="881" customFormat="1" ht="15" customHeight="1">
      <c r="A82" s="1064"/>
      <c r="B82" s="1808" t="s">
        <v>148</v>
      </c>
      <c r="C82" s="107"/>
      <c r="D82" s="890">
        <f t="shared" ref="D82" si="13">$AD82</f>
        <v>0</v>
      </c>
      <c r="E82" s="889"/>
      <c r="F82" s="890"/>
      <c r="G82" s="889"/>
      <c r="H82" s="890"/>
      <c r="I82" s="889"/>
      <c r="J82" s="890"/>
      <c r="K82" s="1529"/>
      <c r="L82" s="890"/>
      <c r="M82" s="1529"/>
      <c r="N82" s="890"/>
      <c r="O82" s="1529"/>
      <c r="P82" s="890"/>
      <c r="Q82" s="1990"/>
      <c r="R82" s="1781"/>
      <c r="S82" s="1990"/>
      <c r="T82" s="1781"/>
      <c r="U82" s="1990"/>
      <c r="V82" s="1781"/>
      <c r="W82" s="1990"/>
      <c r="X82" s="1781"/>
      <c r="Y82" s="1990"/>
      <c r="Z82" s="1781"/>
      <c r="AA82" s="1991"/>
      <c r="AB82" s="1992"/>
      <c r="AC82" s="1994"/>
      <c r="AD82" s="1781">
        <v>0</v>
      </c>
      <c r="AE82" s="2024"/>
      <c r="AF82" s="3161"/>
      <c r="AG82" s="1781">
        <v>0</v>
      </c>
      <c r="AH82" s="1067"/>
      <c r="AI82" s="67"/>
      <c r="AJ82" s="1018">
        <f>ROUND(SUM(+AD82-AG82),1)</f>
        <v>0</v>
      </c>
      <c r="AK82" s="889"/>
      <c r="AL82" s="1721">
        <f>ROUND(IF(AG82=0,0,AJ82/ABS(AG82)),3)</f>
        <v>0</v>
      </c>
      <c r="AM82" s="1811"/>
    </row>
    <row r="83" spans="1:39" ht="15" customHeight="1">
      <c r="A83" s="150"/>
      <c r="B83" s="31"/>
      <c r="C83" s="31"/>
      <c r="D83" s="682"/>
      <c r="E83" s="1523"/>
      <c r="F83" s="682"/>
      <c r="G83" s="1523"/>
      <c r="H83" s="682"/>
      <c r="I83" s="1523"/>
      <c r="J83" s="682"/>
      <c r="K83" s="66"/>
      <c r="L83" s="88"/>
      <c r="M83" s="66"/>
      <c r="N83" s="88"/>
      <c r="O83" s="66"/>
      <c r="P83" s="1997"/>
      <c r="Q83" s="1998"/>
      <c r="R83" s="1997"/>
      <c r="S83" s="1998"/>
      <c r="T83" s="1997"/>
      <c r="U83" s="1998"/>
      <c r="V83" s="1997"/>
      <c r="W83" s="1998"/>
      <c r="X83" s="1997"/>
      <c r="Y83" s="1998"/>
      <c r="Z83" s="1997"/>
      <c r="AA83" s="1999"/>
      <c r="AB83" s="1998"/>
      <c r="AC83" s="2029"/>
      <c r="AD83" s="2043"/>
      <c r="AE83" s="1969"/>
      <c r="AF83" s="1989"/>
      <c r="AG83" s="2043"/>
      <c r="AH83" s="275"/>
      <c r="AI83" s="56"/>
      <c r="AJ83" s="1399"/>
      <c r="AK83" s="914"/>
      <c r="AL83" s="1439"/>
      <c r="AM83" s="778"/>
    </row>
    <row r="84" spans="1:39" ht="15" customHeight="1">
      <c r="A84" s="150"/>
      <c r="B84" s="29" t="s">
        <v>149</v>
      </c>
      <c r="C84" s="31"/>
      <c r="D84" s="916">
        <f>ROUND(SUM(D37+D80+D82),1)</f>
        <v>1705.8</v>
      </c>
      <c r="E84" s="916"/>
      <c r="F84" s="916">
        <f>ROUND(SUM(F37+F80+F82),1)</f>
        <v>0</v>
      </c>
      <c r="G84" s="916"/>
      <c r="H84" s="916">
        <f>ROUND(SUM(H37+H80+H82),1)</f>
        <v>0</v>
      </c>
      <c r="I84" s="916"/>
      <c r="J84" s="916">
        <f>ROUND(SUM(J37+J80+J82),1)</f>
        <v>0</v>
      </c>
      <c r="K84" s="916"/>
      <c r="L84" s="916">
        <f>ROUND(SUM(L37+L80+L82),1)</f>
        <v>0</v>
      </c>
      <c r="M84" s="916"/>
      <c r="N84" s="916">
        <f>ROUND(SUM(N37+N80+N82),1)</f>
        <v>0</v>
      </c>
      <c r="O84" s="916"/>
      <c r="P84" s="1454">
        <f>ROUND(SUM(P37+P80+P82),1)</f>
        <v>0</v>
      </c>
      <c r="Q84" s="1454"/>
      <c r="R84" s="1454">
        <f>ROUND(SUM(R37+R80+R82),1)</f>
        <v>0</v>
      </c>
      <c r="S84" s="1454"/>
      <c r="T84" s="1454">
        <f>ROUND(SUM(T37+T80+T82),1)</f>
        <v>0</v>
      </c>
      <c r="U84" s="1454"/>
      <c r="V84" s="1454">
        <f>ROUND(SUM(V37+V80+V82),1)</f>
        <v>0</v>
      </c>
      <c r="W84" s="1454"/>
      <c r="X84" s="1454">
        <f>ROUND(SUM(X37+X80+X82),1)</f>
        <v>0</v>
      </c>
      <c r="Y84" s="1454"/>
      <c r="Z84" s="1454">
        <f>ROUND(SUM(Z37+Z80+Z82),1)</f>
        <v>0</v>
      </c>
      <c r="AA84" s="1454"/>
      <c r="AB84" s="1454"/>
      <c r="AC84" s="2032"/>
      <c r="AD84" s="2042">
        <f>ROUND(SUM(AD37+AD80+AD82),1)</f>
        <v>1705.8</v>
      </c>
      <c r="AE84" s="1455"/>
      <c r="AF84" s="3145"/>
      <c r="AG84" s="2042">
        <f>ROUND(SUM(AG37+AG80+AG82),1)</f>
        <v>1600.6</v>
      </c>
      <c r="AH84" s="282"/>
      <c r="AI84" s="76"/>
      <c r="AJ84" s="823">
        <f>ROUND(SUM(AJ37+AJ80+AJ82),1)</f>
        <v>105.2</v>
      </c>
      <c r="AK84" s="284"/>
      <c r="AL84" s="1428">
        <f>ROUND(SUM((AD84-AG84)/ABS(AG84)),3)</f>
        <v>6.6000000000000003E-2</v>
      </c>
      <c r="AM84" s="778"/>
    </row>
    <row r="85" spans="1:39" ht="15" customHeight="1">
      <c r="A85" s="150"/>
      <c r="B85" s="31"/>
      <c r="C85" s="31"/>
      <c r="D85" s="682"/>
      <c r="E85" s="1523"/>
      <c r="F85" s="682"/>
      <c r="G85" s="1523"/>
      <c r="H85" s="682"/>
      <c r="I85" s="1523"/>
      <c r="J85" s="682"/>
      <c r="K85" s="66"/>
      <c r="L85" s="88"/>
      <c r="M85" s="66"/>
      <c r="N85" s="88"/>
      <c r="O85" s="66"/>
      <c r="P85" s="1997"/>
      <c r="Q85" s="1998"/>
      <c r="R85" s="1997"/>
      <c r="S85" s="1998"/>
      <c r="T85" s="1997"/>
      <c r="U85" s="1998"/>
      <c r="V85" s="1997"/>
      <c r="W85" s="1998"/>
      <c r="X85" s="1997"/>
      <c r="Y85" s="1998"/>
      <c r="Z85" s="1997"/>
      <c r="AA85" s="1999"/>
      <c r="AB85" s="1998"/>
      <c r="AC85" s="2029"/>
      <c r="AD85" s="2043"/>
      <c r="AE85" s="1969"/>
      <c r="AF85" s="1989"/>
      <c r="AG85" s="2043"/>
      <c r="AH85" s="275"/>
      <c r="AI85" s="56"/>
      <c r="AJ85" s="639"/>
      <c r="AK85" s="914"/>
      <c r="AL85" s="1425"/>
      <c r="AM85" s="778"/>
    </row>
    <row r="86" spans="1:39" ht="15" customHeight="1">
      <c r="A86" s="150"/>
      <c r="B86" s="173" t="s">
        <v>22</v>
      </c>
      <c r="C86" s="31"/>
      <c r="D86" s="1523"/>
      <c r="E86" s="1523"/>
      <c r="F86" s="1523"/>
      <c r="G86" s="1523"/>
      <c r="H86" s="1523"/>
      <c r="I86" s="1523"/>
      <c r="J86" s="1523"/>
      <c r="K86" s="66"/>
      <c r="L86" s="66"/>
      <c r="M86" s="66"/>
      <c r="N86" s="66"/>
      <c r="O86" s="66"/>
      <c r="P86" s="1998"/>
      <c r="Q86" s="1998"/>
      <c r="R86" s="1998"/>
      <c r="S86" s="1998"/>
      <c r="T86" s="1998"/>
      <c r="U86" s="1998"/>
      <c r="V86" s="1998"/>
      <c r="W86" s="1998"/>
      <c r="X86" s="1998"/>
      <c r="Y86" s="1998"/>
      <c r="Z86" s="1998"/>
      <c r="AA86" s="1998"/>
      <c r="AB86" s="1998"/>
      <c r="AC86" s="2029"/>
      <c r="AD86" s="1987"/>
      <c r="AE86" s="1969"/>
      <c r="AF86" s="1989"/>
      <c r="AG86" s="1987"/>
      <c r="AH86" s="275"/>
      <c r="AI86" s="56"/>
      <c r="AJ86" s="639"/>
      <c r="AK86" s="914"/>
      <c r="AL86" s="1425"/>
      <c r="AM86" s="778"/>
    </row>
    <row r="87" spans="1:39" ht="12.75" customHeight="1">
      <c r="A87" s="150"/>
      <c r="B87" s="684" t="s">
        <v>150</v>
      </c>
      <c r="C87" s="31"/>
      <c r="D87" s="676"/>
      <c r="E87" s="1523"/>
      <c r="F87" s="676"/>
      <c r="G87" s="1523"/>
      <c r="H87" s="1523"/>
      <c r="I87" s="1523"/>
      <c r="J87" s="890"/>
      <c r="K87" s="66"/>
      <c r="L87" s="77"/>
      <c r="M87" s="66"/>
      <c r="N87" s="77"/>
      <c r="O87" s="66"/>
      <c r="P87" s="2007"/>
      <c r="Q87" s="1998"/>
      <c r="R87" s="2007"/>
      <c r="S87" s="1998"/>
      <c r="T87" s="2007"/>
      <c r="U87" s="1998"/>
      <c r="V87" s="1998"/>
      <c r="W87" s="1998"/>
      <c r="X87" s="2007"/>
      <c r="Y87" s="1998"/>
      <c r="Z87" s="1998"/>
      <c r="AA87" s="1998"/>
      <c r="AB87" s="1998"/>
      <c r="AC87" s="2029"/>
      <c r="AD87" s="1985"/>
      <c r="AE87" s="1987"/>
      <c r="AF87" s="1989"/>
      <c r="AG87" s="1985"/>
      <c r="AH87" s="275"/>
      <c r="AI87" s="56"/>
      <c r="AJ87" s="639"/>
      <c r="AK87" s="914"/>
      <c r="AL87" s="1440"/>
      <c r="AM87" s="778"/>
    </row>
    <row r="88" spans="1:39" s="881" customFormat="1" ht="15" customHeight="1">
      <c r="A88" s="1064"/>
      <c r="B88" s="1805" t="s">
        <v>24</v>
      </c>
      <c r="C88" s="107"/>
      <c r="D88" s="890">
        <f t="shared" ref="D88:D97" si="14">$AD88</f>
        <v>0.9</v>
      </c>
      <c r="E88" s="1523"/>
      <c r="F88" s="890"/>
      <c r="G88" s="1523"/>
      <c r="H88" s="890"/>
      <c r="I88" s="1523"/>
      <c r="J88" s="890"/>
      <c r="K88" s="1529"/>
      <c r="L88" s="890"/>
      <c r="M88" s="1529"/>
      <c r="N88" s="890"/>
      <c r="O88" s="1529"/>
      <c r="P88" s="890"/>
      <c r="Q88" s="1990"/>
      <c r="R88" s="1781"/>
      <c r="S88" s="1990"/>
      <c r="T88" s="1781"/>
      <c r="U88" s="1990"/>
      <c r="V88" s="1781"/>
      <c r="W88" s="1990"/>
      <c r="X88" s="1781"/>
      <c r="Y88" s="1990"/>
      <c r="Z88" s="1781"/>
      <c r="AA88" s="1991"/>
      <c r="AB88" s="1992"/>
      <c r="AC88" s="1994"/>
      <c r="AD88" s="1781">
        <v>0.9</v>
      </c>
      <c r="AE88" s="2024"/>
      <c r="AF88" s="3161"/>
      <c r="AG88" s="1781">
        <v>0.1</v>
      </c>
      <c r="AH88" s="1067"/>
      <c r="AI88" s="67"/>
      <c r="AJ88" s="889">
        <f>ROUND(SUM(+AD88-AG88),1)</f>
        <v>0.8</v>
      </c>
      <c r="AK88" s="889"/>
      <c r="AL88" s="1721">
        <f>ROUND(IF(AG88=0,1,AJ88/ABS(AG88)),3)</f>
        <v>8</v>
      </c>
      <c r="AM88" s="1811"/>
    </row>
    <row r="89" spans="1:39" s="881" customFormat="1" ht="15" customHeight="1">
      <c r="A89" s="1064"/>
      <c r="B89" s="1805" t="s">
        <v>25</v>
      </c>
      <c r="C89" s="107"/>
      <c r="D89" s="890">
        <f t="shared" si="14"/>
        <v>0.1</v>
      </c>
      <c r="E89" s="1523"/>
      <c r="F89" s="890"/>
      <c r="G89" s="1523"/>
      <c r="H89" s="890"/>
      <c r="I89" s="1523"/>
      <c r="J89" s="890"/>
      <c r="K89" s="1529"/>
      <c r="L89" s="890"/>
      <c r="M89" s="1529"/>
      <c r="N89" s="890"/>
      <c r="O89" s="1529"/>
      <c r="P89" s="890"/>
      <c r="Q89" s="1990"/>
      <c r="R89" s="1781"/>
      <c r="S89" s="1990"/>
      <c r="T89" s="1781"/>
      <c r="U89" s="1990"/>
      <c r="V89" s="1781"/>
      <c r="W89" s="1990"/>
      <c r="X89" s="1781"/>
      <c r="Y89" s="1990"/>
      <c r="Z89" s="1781"/>
      <c r="AA89" s="1991"/>
      <c r="AB89" s="1992"/>
      <c r="AC89" s="1994"/>
      <c r="AD89" s="1781">
        <v>0.1</v>
      </c>
      <c r="AE89" s="2024"/>
      <c r="AF89" s="3161"/>
      <c r="AG89" s="1781">
        <v>0</v>
      </c>
      <c r="AH89" s="1067"/>
      <c r="AI89" s="67"/>
      <c r="AJ89" s="889">
        <f>ROUND(SUM(+AD89-AG89),1)</f>
        <v>0.1</v>
      </c>
      <c r="AK89" s="889"/>
      <c r="AL89" s="1810">
        <f>ROUND(IF(AG89=0,1,AJ89/ABS(AG89)),3)</f>
        <v>1</v>
      </c>
      <c r="AM89" s="1811"/>
    </row>
    <row r="90" spans="1:39" s="881" customFormat="1" ht="15" customHeight="1">
      <c r="A90" s="1064"/>
      <c r="B90" s="1805" t="s">
        <v>26</v>
      </c>
      <c r="C90" s="107"/>
      <c r="D90" s="890">
        <f t="shared" si="14"/>
        <v>10.1</v>
      </c>
      <c r="E90" s="1523"/>
      <c r="F90" s="890"/>
      <c r="G90" s="1523"/>
      <c r="H90" s="890"/>
      <c r="I90" s="1523"/>
      <c r="J90" s="890"/>
      <c r="K90" s="1529"/>
      <c r="L90" s="890"/>
      <c r="M90" s="1529"/>
      <c r="N90" s="890"/>
      <c r="O90" s="1529"/>
      <c r="P90" s="890"/>
      <c r="Q90" s="1990"/>
      <c r="R90" s="1781"/>
      <c r="S90" s="1990"/>
      <c r="T90" s="1781"/>
      <c r="U90" s="1990"/>
      <c r="V90" s="1781"/>
      <c r="W90" s="1990"/>
      <c r="X90" s="1781"/>
      <c r="Y90" s="1990"/>
      <c r="Z90" s="1781"/>
      <c r="AA90" s="1991"/>
      <c r="AB90" s="1992"/>
      <c r="AC90" s="1994"/>
      <c r="AD90" s="1781">
        <v>10.1</v>
      </c>
      <c r="AE90" s="2024"/>
      <c r="AF90" s="3161"/>
      <c r="AG90" s="1781">
        <v>9.3000000000000007</v>
      </c>
      <c r="AH90" s="1067"/>
      <c r="AI90" s="67"/>
      <c r="AJ90" s="889">
        <f>ROUND(SUM(+AD90-AG90),1)</f>
        <v>0.8</v>
      </c>
      <c r="AK90" s="889"/>
      <c r="AL90" s="1810">
        <f>ROUND(IF(AG90=0,0,AJ90/ABS(AG90)),3)</f>
        <v>8.5999999999999993E-2</v>
      </c>
      <c r="AM90" s="1811"/>
    </row>
    <row r="91" spans="1:39" s="881" customFormat="1" ht="15" customHeight="1">
      <c r="A91" s="1064"/>
      <c r="B91" s="684" t="s">
        <v>1202</v>
      </c>
      <c r="C91" s="107"/>
      <c r="D91" s="890">
        <f t="shared" si="14"/>
        <v>0</v>
      </c>
      <c r="E91" s="1523"/>
      <c r="F91" s="890"/>
      <c r="G91" s="1523"/>
      <c r="H91" s="890"/>
      <c r="I91" s="1523"/>
      <c r="J91" s="890"/>
      <c r="K91" s="1529"/>
      <c r="L91" s="890"/>
      <c r="M91" s="1529"/>
      <c r="N91" s="890"/>
      <c r="O91" s="1529"/>
      <c r="P91" s="890"/>
      <c r="Q91" s="1990"/>
      <c r="R91" s="1781"/>
      <c r="S91" s="1990"/>
      <c r="T91" s="1781"/>
      <c r="U91" s="1990"/>
      <c r="V91" s="1781"/>
      <c r="W91" s="1990"/>
      <c r="X91" s="1781"/>
      <c r="Y91" s="1990"/>
      <c r="Z91" s="1781"/>
      <c r="AA91" s="1991"/>
      <c r="AB91" s="1992"/>
      <c r="AC91" s="1994"/>
      <c r="AD91" s="1781"/>
      <c r="AE91" s="2024"/>
      <c r="AF91" s="3161"/>
      <c r="AG91" s="1781"/>
      <c r="AH91" s="1067"/>
      <c r="AI91" s="67"/>
      <c r="AJ91" s="889"/>
      <c r="AK91" s="885"/>
      <c r="AL91" s="1810"/>
      <c r="AM91" s="1811"/>
    </row>
    <row r="92" spans="1:39" s="881" customFormat="1" ht="15" customHeight="1">
      <c r="A92" s="1064"/>
      <c r="B92" s="1806" t="s">
        <v>28</v>
      </c>
      <c r="C92" s="107"/>
      <c r="D92" s="890">
        <f t="shared" si="14"/>
        <v>386.9</v>
      </c>
      <c r="E92" s="1523"/>
      <c r="F92" s="890"/>
      <c r="G92" s="1523"/>
      <c r="H92" s="890"/>
      <c r="I92" s="1523"/>
      <c r="J92" s="890"/>
      <c r="K92" s="1529"/>
      <c r="L92" s="890"/>
      <c r="M92" s="1529"/>
      <c r="N92" s="890"/>
      <c r="O92" s="1529"/>
      <c r="P92" s="890"/>
      <c r="Q92" s="1990"/>
      <c r="R92" s="1781"/>
      <c r="S92" s="1990"/>
      <c r="T92" s="1781"/>
      <c r="U92" s="1990"/>
      <c r="V92" s="1781"/>
      <c r="W92" s="1990"/>
      <c r="X92" s="1781"/>
      <c r="Y92" s="1990"/>
      <c r="Z92" s="1781"/>
      <c r="AA92" s="1991"/>
      <c r="AB92" s="1992"/>
      <c r="AC92" s="1994"/>
      <c r="AD92" s="1781">
        <v>386.9</v>
      </c>
      <c r="AE92" s="2024"/>
      <c r="AF92" s="3161"/>
      <c r="AG92" s="1781">
        <v>528.29999999999995</v>
      </c>
      <c r="AH92" s="1067"/>
      <c r="AI92" s="67"/>
      <c r="AJ92" s="889">
        <f t="shared" ref="AJ92:AJ97" si="15">ROUND(SUM(+AD92-AG92),1)</f>
        <v>-141.4</v>
      </c>
      <c r="AK92" s="889"/>
      <c r="AL92" s="1821">
        <f t="shared" ref="AL92:AL97" si="16">ROUND(IF(AG92=0,0,AJ92/ABS(AG92)),3)</f>
        <v>-0.26800000000000002</v>
      </c>
      <c r="AM92" s="1811"/>
    </row>
    <row r="93" spans="1:39" s="881" customFormat="1" ht="15" customHeight="1">
      <c r="A93" s="1064"/>
      <c r="B93" s="1805" t="s">
        <v>29</v>
      </c>
      <c r="C93" s="107"/>
      <c r="D93" s="890">
        <f t="shared" si="14"/>
        <v>37.299999999999997</v>
      </c>
      <c r="E93" s="1523"/>
      <c r="F93" s="890"/>
      <c r="G93" s="1523"/>
      <c r="H93" s="890"/>
      <c r="I93" s="1523"/>
      <c r="J93" s="890"/>
      <c r="K93" s="1529"/>
      <c r="L93" s="890"/>
      <c r="M93" s="1529"/>
      <c r="N93" s="890"/>
      <c r="O93" s="1529"/>
      <c r="P93" s="890"/>
      <c r="Q93" s="1990"/>
      <c r="R93" s="1781"/>
      <c r="S93" s="1990"/>
      <c r="T93" s="1781"/>
      <c r="U93" s="1990"/>
      <c r="V93" s="1781"/>
      <c r="W93" s="1990"/>
      <c r="X93" s="1781"/>
      <c r="Y93" s="1990"/>
      <c r="Z93" s="1781"/>
      <c r="AA93" s="1991"/>
      <c r="AB93" s="1992"/>
      <c r="AC93" s="1994"/>
      <c r="AD93" s="1781">
        <v>37.299999999999997</v>
      </c>
      <c r="AE93" s="2024"/>
      <c r="AF93" s="3161"/>
      <c r="AG93" s="1781">
        <v>29.6</v>
      </c>
      <c r="AH93" s="1067"/>
      <c r="AI93" s="67"/>
      <c r="AJ93" s="889">
        <f t="shared" si="15"/>
        <v>7.7</v>
      </c>
      <c r="AK93" s="889"/>
      <c r="AL93" s="1810">
        <f t="shared" si="16"/>
        <v>0.26</v>
      </c>
      <c r="AM93" s="1811"/>
    </row>
    <row r="94" spans="1:39" s="881" customFormat="1" ht="15" customHeight="1">
      <c r="A94" s="1064"/>
      <c r="B94" s="1805" t="s">
        <v>30</v>
      </c>
      <c r="C94" s="107"/>
      <c r="D94" s="890">
        <f t="shared" si="14"/>
        <v>19.3</v>
      </c>
      <c r="E94" s="1523"/>
      <c r="F94" s="890"/>
      <c r="G94" s="1523"/>
      <c r="H94" s="890"/>
      <c r="I94" s="1523"/>
      <c r="J94" s="890"/>
      <c r="K94" s="1529"/>
      <c r="L94" s="890"/>
      <c r="M94" s="1529"/>
      <c r="N94" s="890"/>
      <c r="O94" s="1529"/>
      <c r="P94" s="890"/>
      <c r="Q94" s="1990"/>
      <c r="R94" s="1781"/>
      <c r="S94" s="1990"/>
      <c r="T94" s="1781"/>
      <c r="U94" s="1990"/>
      <c r="V94" s="1781"/>
      <c r="W94" s="1990"/>
      <c r="X94" s="1781"/>
      <c r="Y94" s="1990"/>
      <c r="Z94" s="1781"/>
      <c r="AA94" s="1991"/>
      <c r="AB94" s="1992"/>
      <c r="AC94" s="1994"/>
      <c r="AD94" s="1781">
        <v>19.3</v>
      </c>
      <c r="AE94" s="2024"/>
      <c r="AF94" s="3161"/>
      <c r="AG94" s="1781">
        <v>18</v>
      </c>
      <c r="AH94" s="1067"/>
      <c r="AI94" s="67"/>
      <c r="AJ94" s="889">
        <f t="shared" si="15"/>
        <v>1.3</v>
      </c>
      <c r="AK94" s="889"/>
      <c r="AL94" s="1810">
        <f t="shared" si="16"/>
        <v>7.1999999999999995E-2</v>
      </c>
      <c r="AM94" s="1811"/>
    </row>
    <row r="95" spans="1:39" s="881" customFormat="1" ht="15" customHeight="1">
      <c r="A95" s="1064"/>
      <c r="B95" s="1805" t="s">
        <v>31</v>
      </c>
      <c r="C95" s="107"/>
      <c r="D95" s="890">
        <f t="shared" si="14"/>
        <v>0.2</v>
      </c>
      <c r="E95" s="1523"/>
      <c r="F95" s="890"/>
      <c r="G95" s="1523"/>
      <c r="H95" s="890"/>
      <c r="I95" s="1523"/>
      <c r="J95" s="890"/>
      <c r="K95" s="1529"/>
      <c r="L95" s="890"/>
      <c r="M95" s="1529"/>
      <c r="N95" s="890"/>
      <c r="O95" s="1529"/>
      <c r="P95" s="890"/>
      <c r="Q95" s="1990"/>
      <c r="R95" s="1781"/>
      <c r="S95" s="1990"/>
      <c r="T95" s="1781"/>
      <c r="U95" s="1990"/>
      <c r="V95" s="1781"/>
      <c r="W95" s="1990"/>
      <c r="X95" s="1781"/>
      <c r="Y95" s="1990"/>
      <c r="Z95" s="1781"/>
      <c r="AA95" s="1991"/>
      <c r="AB95" s="1992"/>
      <c r="AC95" s="1994"/>
      <c r="AD95" s="1781">
        <v>0.2</v>
      </c>
      <c r="AE95" s="2024"/>
      <c r="AF95" s="3161"/>
      <c r="AG95" s="1781">
        <v>0.1</v>
      </c>
      <c r="AH95" s="1067"/>
      <c r="AI95" s="67"/>
      <c r="AJ95" s="889">
        <f t="shared" si="15"/>
        <v>0.1</v>
      </c>
      <c r="AK95" s="889"/>
      <c r="AL95" s="1810">
        <f t="shared" si="16"/>
        <v>1</v>
      </c>
      <c r="AM95" s="1811"/>
    </row>
    <row r="96" spans="1:39" s="881" customFormat="1" ht="15" customHeight="1">
      <c r="A96" s="1064"/>
      <c r="B96" s="1805" t="s">
        <v>32</v>
      </c>
      <c r="C96" s="107"/>
      <c r="D96" s="890">
        <f t="shared" si="14"/>
        <v>0.3</v>
      </c>
      <c r="E96" s="1523"/>
      <c r="F96" s="890"/>
      <c r="G96" s="1523"/>
      <c r="H96" s="890"/>
      <c r="I96" s="1523"/>
      <c r="J96" s="890"/>
      <c r="K96" s="1529"/>
      <c r="L96" s="890"/>
      <c r="M96" s="1529"/>
      <c r="N96" s="890"/>
      <c r="O96" s="1529"/>
      <c r="P96" s="890"/>
      <c r="Q96" s="1990"/>
      <c r="R96" s="1781"/>
      <c r="S96" s="1990"/>
      <c r="T96" s="1781"/>
      <c r="U96" s="1990"/>
      <c r="V96" s="1781"/>
      <c r="W96" s="1990"/>
      <c r="X96" s="1781"/>
      <c r="Y96" s="1990"/>
      <c r="Z96" s="1781"/>
      <c r="AA96" s="1991"/>
      <c r="AB96" s="1992"/>
      <c r="AC96" s="1994"/>
      <c r="AD96" s="1781">
        <v>0.3</v>
      </c>
      <c r="AE96" s="2024"/>
      <c r="AF96" s="3161"/>
      <c r="AG96" s="1781">
        <v>0</v>
      </c>
      <c r="AH96" s="1067"/>
      <c r="AI96" s="67"/>
      <c r="AJ96" s="889">
        <f t="shared" si="15"/>
        <v>0.3</v>
      </c>
      <c r="AK96" s="889"/>
      <c r="AL96" s="1821">
        <f>ROUND(IF(AG96=0,1,AJ96/ABS(AG96)),3)</f>
        <v>1</v>
      </c>
      <c r="AM96" s="1811"/>
    </row>
    <row r="97" spans="1:39" s="881" customFormat="1" ht="15" customHeight="1">
      <c r="A97" s="1064"/>
      <c r="B97" s="1805" t="s">
        <v>33</v>
      </c>
      <c r="C97" s="107"/>
      <c r="D97" s="890">
        <f t="shared" si="14"/>
        <v>199</v>
      </c>
      <c r="E97" s="1523"/>
      <c r="F97" s="890"/>
      <c r="G97" s="1523"/>
      <c r="H97" s="890"/>
      <c r="I97" s="1523"/>
      <c r="J97" s="890"/>
      <c r="K97" s="1529"/>
      <c r="L97" s="890"/>
      <c r="M97" s="1529"/>
      <c r="N97" s="890"/>
      <c r="O97" s="1529"/>
      <c r="P97" s="890"/>
      <c r="Q97" s="1990"/>
      <c r="R97" s="1781"/>
      <c r="S97" s="1990"/>
      <c r="T97" s="1781"/>
      <c r="U97" s="1990"/>
      <c r="V97" s="1781"/>
      <c r="W97" s="1990"/>
      <c r="X97" s="1781"/>
      <c r="Y97" s="1990"/>
      <c r="Z97" s="1781"/>
      <c r="AA97" s="1991"/>
      <c r="AB97" s="1992"/>
      <c r="AC97" s="1994"/>
      <c r="AD97" s="1781">
        <v>199</v>
      </c>
      <c r="AE97" s="2024"/>
      <c r="AF97" s="3161"/>
      <c r="AG97" s="1781">
        <v>61.6</v>
      </c>
      <c r="AH97" s="1067"/>
      <c r="AI97" s="67"/>
      <c r="AJ97" s="889">
        <f t="shared" si="15"/>
        <v>137.4</v>
      </c>
      <c r="AK97" s="889"/>
      <c r="AL97" s="1810">
        <f t="shared" si="16"/>
        <v>2.2309999999999999</v>
      </c>
      <c r="AM97" s="1811"/>
    </row>
    <row r="98" spans="1:39" ht="15" customHeight="1">
      <c r="A98" s="150"/>
      <c r="B98" s="29" t="s">
        <v>1097</v>
      </c>
      <c r="C98" s="31"/>
      <c r="D98" s="294">
        <f>ROUND(SUM(D88:D97),1)</f>
        <v>654.1</v>
      </c>
      <c r="E98" s="916"/>
      <c r="F98" s="294">
        <f>ROUND(SUM(F88:F97),1)</f>
        <v>0</v>
      </c>
      <c r="G98" s="916"/>
      <c r="H98" s="294">
        <f>ROUND(SUM(H88:H97),1)</f>
        <v>0</v>
      </c>
      <c r="I98" s="916"/>
      <c r="J98" s="294">
        <f>ROUND(SUM(J88:J97),1)</f>
        <v>0</v>
      </c>
      <c r="K98" s="916"/>
      <c r="L98" s="294">
        <f>ROUND(SUM(L88:L97),1)</f>
        <v>0</v>
      </c>
      <c r="M98" s="916"/>
      <c r="N98" s="294">
        <f>ROUND(SUM(N88:N97),1)</f>
        <v>0</v>
      </c>
      <c r="O98" s="916"/>
      <c r="P98" s="2008">
        <f>ROUND(SUM(P88:P97),1)</f>
        <v>0</v>
      </c>
      <c r="Q98" s="1454"/>
      <c r="R98" s="2008">
        <f>ROUND(SUM(R88:R97),1)</f>
        <v>0</v>
      </c>
      <c r="S98" s="1454"/>
      <c r="T98" s="2008">
        <f>ROUND(SUM(T88:T97),1)</f>
        <v>0</v>
      </c>
      <c r="U98" s="1454"/>
      <c r="V98" s="2008">
        <f>ROUND(SUM(V88:V97),1)</f>
        <v>0</v>
      </c>
      <c r="W98" s="1454"/>
      <c r="X98" s="2008">
        <f>ROUND(SUM(X88:X97),1)</f>
        <v>0</v>
      </c>
      <c r="Y98" s="1454"/>
      <c r="Z98" s="2008">
        <f>ROUND(SUM(Z88:Z97),1)</f>
        <v>0</v>
      </c>
      <c r="AA98" s="1437"/>
      <c r="AB98" s="1454"/>
      <c r="AC98" s="2032"/>
      <c r="AD98" s="2009">
        <f>ROUND(SUM(AD88:AD97),1)</f>
        <v>654.1</v>
      </c>
      <c r="AE98" s="1455"/>
      <c r="AF98" s="3145"/>
      <c r="AG98" s="2009">
        <f>ROUND(SUM(AG88:AG97),1)</f>
        <v>647</v>
      </c>
      <c r="AH98" s="282"/>
      <c r="AI98" s="76"/>
      <c r="AJ98" s="61">
        <f>ROUND(SUM(AD98-AG98),1)</f>
        <v>7.1</v>
      </c>
      <c r="AK98" s="166"/>
      <c r="AL98" s="1427">
        <f>ROUND(SUM((AD98-AG98)/ABS(AG98)),3)</f>
        <v>1.0999999999999999E-2</v>
      </c>
      <c r="AM98" s="778"/>
    </row>
    <row r="99" spans="1:39" ht="15" customHeight="1">
      <c r="A99" s="150"/>
      <c r="B99" s="31" t="s">
        <v>168</v>
      </c>
      <c r="C99" s="31"/>
      <c r="D99" s="1523"/>
      <c r="E99" s="1523"/>
      <c r="F99" s="1523"/>
      <c r="G99" s="1523"/>
      <c r="H99" s="1523"/>
      <c r="I99" s="1523"/>
      <c r="J99" s="1523"/>
      <c r="K99" s="66"/>
      <c r="L99" s="66"/>
      <c r="M99" s="66"/>
      <c r="N99" s="66"/>
      <c r="O99" s="66"/>
      <c r="P99" s="1998"/>
      <c r="Q99" s="1998"/>
      <c r="R99" s="1998"/>
      <c r="S99" s="1998"/>
      <c r="T99" s="1998"/>
      <c r="U99" s="1998"/>
      <c r="V99" s="1998"/>
      <c r="W99" s="1998"/>
      <c r="X99" s="1998"/>
      <c r="Y99" s="1998"/>
      <c r="Z99" s="1998"/>
      <c r="AA99" s="1998"/>
      <c r="AB99" s="1998"/>
      <c r="AC99" s="2029"/>
      <c r="AD99" s="1987"/>
      <c r="AE99" s="1987"/>
      <c r="AF99" s="1989"/>
      <c r="AG99" s="1987"/>
      <c r="AH99" s="275"/>
      <c r="AI99" s="56"/>
      <c r="AJ99" s="639"/>
      <c r="AK99" s="914"/>
      <c r="AL99" s="1425"/>
      <c r="AM99" s="778"/>
    </row>
    <row r="100" spans="1:39" s="881" customFormat="1" ht="15" customHeight="1">
      <c r="A100" s="1064"/>
      <c r="B100" s="107" t="s">
        <v>152</v>
      </c>
      <c r="C100" s="107"/>
      <c r="D100" s="890">
        <f t="shared" ref="D100:D103" si="17">$AD100</f>
        <v>399.6</v>
      </c>
      <c r="E100" s="1523"/>
      <c r="F100" s="890"/>
      <c r="G100" s="1523"/>
      <c r="H100" s="890"/>
      <c r="I100" s="1523"/>
      <c r="J100" s="890"/>
      <c r="K100" s="1529"/>
      <c r="L100" s="890"/>
      <c r="M100" s="1529"/>
      <c r="N100" s="890"/>
      <c r="O100" s="1529"/>
      <c r="P100" s="890"/>
      <c r="Q100" s="1990"/>
      <c r="R100" s="1781"/>
      <c r="S100" s="1990"/>
      <c r="T100" s="1781"/>
      <c r="U100" s="1990"/>
      <c r="V100" s="1781"/>
      <c r="W100" s="1990"/>
      <c r="X100" s="1781"/>
      <c r="Y100" s="1990"/>
      <c r="Z100" s="1781"/>
      <c r="AA100" s="1991"/>
      <c r="AB100" s="1992"/>
      <c r="AC100" s="1994"/>
      <c r="AD100" s="1781">
        <v>399.6</v>
      </c>
      <c r="AE100" s="2024"/>
      <c r="AF100" s="3161"/>
      <c r="AG100" s="1781">
        <v>601.09999999999991</v>
      </c>
      <c r="AH100" s="1067"/>
      <c r="AI100" s="67"/>
      <c r="AJ100" s="889">
        <f>ROUND(SUM(+AD100-AG100),1)</f>
        <v>-201.5</v>
      </c>
      <c r="AK100" s="889"/>
      <c r="AL100" s="1810">
        <f>ROUND(IF(AG100=0,0,AJ100/ABS(AG100)),3)</f>
        <v>-0.33500000000000002</v>
      </c>
      <c r="AM100" s="1811"/>
    </row>
    <row r="101" spans="1:39" s="881" customFormat="1" ht="15" customHeight="1">
      <c r="A101" s="1064"/>
      <c r="B101" s="107" t="s">
        <v>169</v>
      </c>
      <c r="C101" s="107"/>
      <c r="D101" s="890">
        <f t="shared" si="17"/>
        <v>225.6</v>
      </c>
      <c r="E101" s="1523"/>
      <c r="F101" s="890"/>
      <c r="G101" s="1523"/>
      <c r="H101" s="890"/>
      <c r="I101" s="1523"/>
      <c r="J101" s="890"/>
      <c r="K101" s="1529"/>
      <c r="L101" s="890"/>
      <c r="M101" s="1529"/>
      <c r="N101" s="890"/>
      <c r="O101" s="1529"/>
      <c r="P101" s="890"/>
      <c r="Q101" s="1990"/>
      <c r="R101" s="1781"/>
      <c r="S101" s="1990"/>
      <c r="T101" s="1781"/>
      <c r="U101" s="1990"/>
      <c r="V101" s="1781"/>
      <c r="W101" s="1990"/>
      <c r="X101" s="1781"/>
      <c r="Y101" s="1990"/>
      <c r="Z101" s="1781"/>
      <c r="AA101" s="1991"/>
      <c r="AB101" s="1992"/>
      <c r="AC101" s="1994"/>
      <c r="AD101" s="1781">
        <v>225.6</v>
      </c>
      <c r="AE101" s="2024"/>
      <c r="AF101" s="3161"/>
      <c r="AG101" s="1781">
        <v>230.1</v>
      </c>
      <c r="AH101" s="1067"/>
      <c r="AI101" s="67"/>
      <c r="AJ101" s="889">
        <f>ROUND(SUM(+AD101-AG101),1)</f>
        <v>-4.5</v>
      </c>
      <c r="AK101" s="889"/>
      <c r="AL101" s="1810">
        <f>ROUND(IF(AG101=0,0,AJ101/ABS(AG101)),3)</f>
        <v>-0.02</v>
      </c>
      <c r="AM101" s="1811"/>
    </row>
    <row r="102" spans="1:39" s="881" customFormat="1" ht="15" customHeight="1">
      <c r="A102" s="1064"/>
      <c r="B102" s="107" t="s">
        <v>170</v>
      </c>
      <c r="C102" s="107"/>
      <c r="D102" s="890">
        <f t="shared" si="17"/>
        <v>59.8</v>
      </c>
      <c r="E102" s="1523"/>
      <c r="F102" s="890"/>
      <c r="G102" s="1523"/>
      <c r="H102" s="890"/>
      <c r="I102" s="1523"/>
      <c r="J102" s="890"/>
      <c r="K102" s="1529"/>
      <c r="L102" s="890"/>
      <c r="M102" s="1529"/>
      <c r="N102" s="890"/>
      <c r="O102" s="1529"/>
      <c r="P102" s="890"/>
      <c r="Q102" s="1990"/>
      <c r="R102" s="1781"/>
      <c r="S102" s="1990"/>
      <c r="T102" s="1781"/>
      <c r="U102" s="1990"/>
      <c r="V102" s="1781"/>
      <c r="W102" s="1990"/>
      <c r="X102" s="1781"/>
      <c r="Y102" s="1990"/>
      <c r="Z102" s="1781"/>
      <c r="AA102" s="1991"/>
      <c r="AB102" s="1992"/>
      <c r="AC102" s="1994"/>
      <c r="AD102" s="1781">
        <v>59.8</v>
      </c>
      <c r="AE102" s="2024"/>
      <c r="AF102" s="3161"/>
      <c r="AG102" s="1781">
        <v>52.3</v>
      </c>
      <c r="AH102" s="1067"/>
      <c r="AI102" s="67"/>
      <c r="AJ102" s="889">
        <f>ROUND(SUM(+AD102-AG102),1)</f>
        <v>7.5</v>
      </c>
      <c r="AK102" s="889"/>
      <c r="AL102" s="1810">
        <f>ROUND(IF(AG102=0,0,AJ102/ABS(AG102)),3)</f>
        <v>0.14299999999999999</v>
      </c>
      <c r="AM102" s="1811"/>
    </row>
    <row r="103" spans="1:39" s="881" customFormat="1" ht="15" customHeight="1">
      <c r="A103" s="1064"/>
      <c r="B103" s="107" t="s">
        <v>171</v>
      </c>
      <c r="C103" s="107"/>
      <c r="D103" s="890">
        <f t="shared" si="17"/>
        <v>0</v>
      </c>
      <c r="E103" s="1523"/>
      <c r="F103" s="890"/>
      <c r="G103" s="1523"/>
      <c r="H103" s="890"/>
      <c r="I103" s="1523"/>
      <c r="J103" s="890"/>
      <c r="K103" s="1529"/>
      <c r="L103" s="890"/>
      <c r="M103" s="1529"/>
      <c r="N103" s="890"/>
      <c r="O103" s="1529"/>
      <c r="P103" s="890"/>
      <c r="Q103" s="1990"/>
      <c r="R103" s="1781"/>
      <c r="S103" s="1990"/>
      <c r="T103" s="1781"/>
      <c r="U103" s="1990"/>
      <c r="V103" s="1781"/>
      <c r="W103" s="1990"/>
      <c r="X103" s="1781"/>
      <c r="Y103" s="1990"/>
      <c r="Z103" s="1781"/>
      <c r="AA103" s="1991"/>
      <c r="AB103" s="1992"/>
      <c r="AC103" s="1994"/>
      <c r="AD103" s="1781">
        <v>0</v>
      </c>
      <c r="AE103" s="2024"/>
      <c r="AF103" s="3161"/>
      <c r="AG103" s="1781">
        <v>0</v>
      </c>
      <c r="AH103" s="1067"/>
      <c r="AI103" s="67"/>
      <c r="AJ103" s="889">
        <f>ROUND(SUM(+AD103-AG103),1)</f>
        <v>0</v>
      </c>
      <c r="AK103" s="889"/>
      <c r="AL103" s="1716">
        <f>ROUND(IF(AG103=0,0,AJ103/ABS(AG103)),3)</f>
        <v>0</v>
      </c>
      <c r="AM103" s="1811"/>
    </row>
    <row r="104" spans="1:39" ht="15" customHeight="1">
      <c r="A104" s="150"/>
      <c r="B104" s="31"/>
      <c r="C104" s="31"/>
      <c r="D104" s="682"/>
      <c r="E104" s="1523"/>
      <c r="F104" s="682"/>
      <c r="G104" s="1523"/>
      <c r="H104" s="682"/>
      <c r="I104" s="1523"/>
      <c r="J104" s="682"/>
      <c r="K104" s="66"/>
      <c r="L104" s="88"/>
      <c r="M104" s="66"/>
      <c r="N104" s="88"/>
      <c r="O104" s="66"/>
      <c r="P104" s="1997"/>
      <c r="Q104" s="1998"/>
      <c r="R104" s="1997"/>
      <c r="S104" s="1998"/>
      <c r="T104" s="1997"/>
      <c r="U104" s="1998"/>
      <c r="V104" s="1997"/>
      <c r="W104" s="1998"/>
      <c r="X104" s="1997"/>
      <c r="Y104" s="1998"/>
      <c r="Z104" s="1997"/>
      <c r="AA104" s="1999"/>
      <c r="AB104" s="1998"/>
      <c r="AC104" s="2029"/>
      <c r="AD104" s="2043"/>
      <c r="AE104" s="1969"/>
      <c r="AF104" s="1989"/>
      <c r="AG104" s="2043"/>
      <c r="AH104" s="275"/>
      <c r="AI104" s="56"/>
      <c r="AJ104" s="1399"/>
      <c r="AK104" s="914"/>
      <c r="AL104" s="1439"/>
      <c r="AM104" s="778"/>
    </row>
    <row r="105" spans="1:39" ht="15" customHeight="1">
      <c r="A105" s="150"/>
      <c r="B105" s="29" t="s">
        <v>155</v>
      </c>
      <c r="C105" s="31"/>
      <c r="D105" s="916">
        <f>ROUND(SUM(D98:D103),1)</f>
        <v>1339.1</v>
      </c>
      <c r="E105" s="916"/>
      <c r="F105" s="916">
        <f>ROUND(SUM(F98:F103),1)</f>
        <v>0</v>
      </c>
      <c r="G105" s="916"/>
      <c r="H105" s="916">
        <f>ROUND(SUM(H98:H103),1)</f>
        <v>0</v>
      </c>
      <c r="I105" s="916"/>
      <c r="J105" s="916">
        <f>ROUND(SUM(J98:J103),1)</f>
        <v>0</v>
      </c>
      <c r="K105" s="916"/>
      <c r="L105" s="916">
        <f>ROUND(SUM(L98:L103),1)</f>
        <v>0</v>
      </c>
      <c r="M105" s="916"/>
      <c r="N105" s="916">
        <f>ROUND(SUM(N98:N103),1)</f>
        <v>0</v>
      </c>
      <c r="O105" s="916"/>
      <c r="P105" s="1454">
        <f>ROUND(SUM(P98:P103),1)</f>
        <v>0</v>
      </c>
      <c r="Q105" s="1454"/>
      <c r="R105" s="1454">
        <f>ROUND(SUM(R98:R103),1)</f>
        <v>0</v>
      </c>
      <c r="S105" s="1454"/>
      <c r="T105" s="1454">
        <f>ROUND(SUM(T98:T103),1)</f>
        <v>0</v>
      </c>
      <c r="U105" s="1454"/>
      <c r="V105" s="1454">
        <f>ROUND(SUM(V98:V103),1)</f>
        <v>0</v>
      </c>
      <c r="W105" s="1454"/>
      <c r="X105" s="1454">
        <f>ROUND(SUM(X98:X103),1)</f>
        <v>0</v>
      </c>
      <c r="Y105" s="1454"/>
      <c r="Z105" s="1454">
        <f>ROUND(SUM(Z98:Z103),1)</f>
        <v>0</v>
      </c>
      <c r="AA105" s="1454"/>
      <c r="AB105" s="1454"/>
      <c r="AC105" s="2032"/>
      <c r="AD105" s="2042">
        <f>ROUND(SUM(AD98:AD103),1)</f>
        <v>1339.1</v>
      </c>
      <c r="AE105" s="1455"/>
      <c r="AF105" s="3145"/>
      <c r="AG105" s="2042">
        <f>ROUND(SUM(AG98:AG103),1)</f>
        <v>1530.5</v>
      </c>
      <c r="AH105" s="282"/>
      <c r="AI105" s="76"/>
      <c r="AJ105" s="74">
        <f>ROUND(SUM(AD105-AG105),1)</f>
        <v>-191.4</v>
      </c>
      <c r="AK105" s="210"/>
      <c r="AL105" s="1428">
        <f>ROUND(SUM((AD105-AG105)/ABS(AG105)),3)</f>
        <v>-0.125</v>
      </c>
      <c r="AM105" s="778"/>
    </row>
    <row r="106" spans="1:39" ht="15" customHeight="1">
      <c r="A106" s="150"/>
      <c r="B106" s="31"/>
      <c r="C106" s="31"/>
      <c r="D106" s="682"/>
      <c r="E106" s="1523"/>
      <c r="F106" s="682"/>
      <c r="G106" s="1523"/>
      <c r="H106" s="682"/>
      <c r="I106" s="1523"/>
      <c r="J106" s="682"/>
      <c r="K106" s="66"/>
      <c r="L106" s="88"/>
      <c r="M106" s="66"/>
      <c r="N106" s="88"/>
      <c r="O106" s="66"/>
      <c r="P106" s="1997"/>
      <c r="Q106" s="1998"/>
      <c r="R106" s="1997"/>
      <c r="S106" s="1998"/>
      <c r="T106" s="1997"/>
      <c r="U106" s="1998"/>
      <c r="V106" s="1997"/>
      <c r="W106" s="1998"/>
      <c r="X106" s="1997"/>
      <c r="Y106" s="1998"/>
      <c r="Z106" s="1997"/>
      <c r="AA106" s="1999"/>
      <c r="AB106" s="1998"/>
      <c r="AC106" s="2029"/>
      <c r="AD106" s="2043"/>
      <c r="AE106" s="1969"/>
      <c r="AF106" s="1989"/>
      <c r="AG106" s="2043"/>
      <c r="AH106" s="275"/>
      <c r="AI106" s="56"/>
      <c r="AJ106" s="639"/>
      <c r="AK106" s="914"/>
      <c r="AL106" s="1425"/>
      <c r="AM106" s="778"/>
    </row>
    <row r="107" spans="1:39" ht="15" customHeight="1">
      <c r="A107" s="150"/>
      <c r="B107" s="29" t="s">
        <v>156</v>
      </c>
      <c r="C107" s="31"/>
      <c r="D107" s="1523"/>
      <c r="E107" s="1523"/>
      <c r="F107" s="1523"/>
      <c r="G107" s="1523"/>
      <c r="H107" s="1523"/>
      <c r="I107" s="1523"/>
      <c r="J107" s="1523"/>
      <c r="K107" s="66"/>
      <c r="L107" s="66"/>
      <c r="M107" s="66"/>
      <c r="N107" s="66"/>
      <c r="O107" s="66"/>
      <c r="P107" s="1998"/>
      <c r="Q107" s="1998"/>
      <c r="R107" s="1998"/>
      <c r="S107" s="1998"/>
      <c r="T107" s="1998"/>
      <c r="U107" s="1998"/>
      <c r="V107" s="1998"/>
      <c r="W107" s="1998"/>
      <c r="X107" s="1998"/>
      <c r="Y107" s="1998"/>
      <c r="Z107" s="1998"/>
      <c r="AA107" s="1998"/>
      <c r="AB107" s="1998"/>
      <c r="AC107" s="2029"/>
      <c r="AD107" s="1987"/>
      <c r="AE107" s="1969"/>
      <c r="AF107" s="1989"/>
      <c r="AG107" s="1987"/>
      <c r="AH107" s="275"/>
      <c r="AI107" s="56"/>
      <c r="AJ107" s="937"/>
      <c r="AK107" s="914"/>
      <c r="AL107" s="1425"/>
      <c r="AM107" s="778"/>
    </row>
    <row r="108" spans="1:39" ht="15" customHeight="1">
      <c r="A108" s="150"/>
      <c r="B108" s="29" t="s">
        <v>44</v>
      </c>
      <c r="C108" s="31"/>
      <c r="D108" s="916">
        <f>ROUND(SUM(D84-D105),1)</f>
        <v>366.7</v>
      </c>
      <c r="E108" s="916"/>
      <c r="F108" s="916">
        <f>ROUND(SUM(F84-F105),1)</f>
        <v>0</v>
      </c>
      <c r="G108" s="916"/>
      <c r="H108" s="916">
        <f>ROUND(SUM(H84-H105),1)</f>
        <v>0</v>
      </c>
      <c r="I108" s="916"/>
      <c r="J108" s="916">
        <f>ROUND(SUM(J84-J105),1)</f>
        <v>0</v>
      </c>
      <c r="K108" s="916"/>
      <c r="L108" s="916">
        <f>ROUND(SUM(L84-L105),1)</f>
        <v>0</v>
      </c>
      <c r="M108" s="916"/>
      <c r="N108" s="916">
        <f>ROUND(SUM(N84-N105),1)</f>
        <v>0</v>
      </c>
      <c r="O108" s="916"/>
      <c r="P108" s="1454">
        <f>ROUND(SUM(P84-P105),1)</f>
        <v>0</v>
      </c>
      <c r="Q108" s="1454"/>
      <c r="R108" s="1454">
        <f>ROUND(SUM(R84-R105),1)</f>
        <v>0</v>
      </c>
      <c r="S108" s="1454"/>
      <c r="T108" s="1454">
        <f>ROUND(SUM(T84-T105),1)</f>
        <v>0</v>
      </c>
      <c r="U108" s="1454"/>
      <c r="V108" s="1454">
        <f>ROUND(SUM(V84-V105),1)</f>
        <v>0</v>
      </c>
      <c r="W108" s="1454"/>
      <c r="X108" s="1454">
        <f>ROUND(SUM(X84-X105),1)</f>
        <v>0</v>
      </c>
      <c r="Y108" s="1454"/>
      <c r="Z108" s="1454">
        <f>ROUND(SUM(Z84-Z105),1)</f>
        <v>0</v>
      </c>
      <c r="AA108" s="1454"/>
      <c r="AB108" s="1454"/>
      <c r="AC108" s="2032"/>
      <c r="AD108" s="2042">
        <f>ROUND(SUM(AD84-AD105),1)</f>
        <v>366.7</v>
      </c>
      <c r="AE108" s="1455"/>
      <c r="AF108" s="3145"/>
      <c r="AG108" s="2042">
        <f>ROUND(SUM(AG84-AG105),1)</f>
        <v>70.099999999999994</v>
      </c>
      <c r="AH108" s="282"/>
      <c r="AI108" s="76"/>
      <c r="AJ108" s="74">
        <f>ROUND(SUM(AD108-AG108),1)</f>
        <v>296.60000000000002</v>
      </c>
      <c r="AK108" s="209"/>
      <c r="AL108" s="3568">
        <f>ROUND(IF(AG108=0,0,AJ108/ABS(AG108)),3)</f>
        <v>4.2309999999999999</v>
      </c>
      <c r="AM108" s="778"/>
    </row>
    <row r="109" spans="1:39" ht="15" customHeight="1">
      <c r="A109" s="150"/>
      <c r="B109" s="31"/>
      <c r="C109" s="31"/>
      <c r="D109" s="682"/>
      <c r="E109" s="1523"/>
      <c r="F109" s="682"/>
      <c r="G109" s="1523"/>
      <c r="H109" s="682"/>
      <c r="I109" s="1523"/>
      <c r="J109" s="682"/>
      <c r="K109" s="66"/>
      <c r="L109" s="88"/>
      <c r="M109" s="66"/>
      <c r="N109" s="88"/>
      <c r="O109" s="66"/>
      <c r="P109" s="1997"/>
      <c r="Q109" s="1998"/>
      <c r="R109" s="1997"/>
      <c r="S109" s="1998"/>
      <c r="T109" s="1997"/>
      <c r="U109" s="1998"/>
      <c r="V109" s="1997"/>
      <c r="W109" s="1998"/>
      <c r="X109" s="1997"/>
      <c r="Y109" s="1998"/>
      <c r="Z109" s="1997"/>
      <c r="AA109" s="1999"/>
      <c r="AB109" s="1998"/>
      <c r="AC109" s="2029"/>
      <c r="AD109" s="2043"/>
      <c r="AE109" s="1969"/>
      <c r="AF109" s="1989"/>
      <c r="AG109" s="2043"/>
      <c r="AH109" s="275"/>
      <c r="AI109" s="56"/>
      <c r="AJ109" s="639"/>
      <c r="AK109" s="914"/>
      <c r="AL109" s="1425"/>
      <c r="AM109" s="778"/>
    </row>
    <row r="110" spans="1:39" ht="15" customHeight="1">
      <c r="A110" s="150"/>
      <c r="B110" s="29" t="s">
        <v>45</v>
      </c>
      <c r="C110" s="31"/>
      <c r="D110" s="1523"/>
      <c r="E110" s="1523"/>
      <c r="F110" s="1523"/>
      <c r="G110" s="1523"/>
      <c r="H110" s="1523"/>
      <c r="I110" s="1523"/>
      <c r="J110" s="1523"/>
      <c r="K110" s="66"/>
      <c r="L110" s="66"/>
      <c r="M110" s="66"/>
      <c r="N110" s="66"/>
      <c r="O110" s="66"/>
      <c r="P110" s="1998"/>
      <c r="Q110" s="1998"/>
      <c r="R110" s="1998"/>
      <c r="S110" s="1998"/>
      <c r="T110" s="1998"/>
      <c r="U110" s="1998"/>
      <c r="V110" s="1998"/>
      <c r="W110" s="1998"/>
      <c r="X110" s="1998"/>
      <c r="Y110" s="1998"/>
      <c r="Z110" s="1998"/>
      <c r="AA110" s="1998"/>
      <c r="AB110" s="1998"/>
      <c r="AC110" s="2029"/>
      <c r="AD110" s="1987"/>
      <c r="AE110" s="1969"/>
      <c r="AF110" s="1989"/>
      <c r="AG110" s="1987"/>
      <c r="AH110" s="275"/>
      <c r="AI110" s="56"/>
      <c r="AJ110" s="639"/>
      <c r="AK110" s="914"/>
      <c r="AL110" s="1425"/>
      <c r="AM110" s="778"/>
    </row>
    <row r="111" spans="1:39" s="881" customFormat="1" ht="15" customHeight="1">
      <c r="A111" s="1064"/>
      <c r="B111" s="107" t="s">
        <v>175</v>
      </c>
      <c r="C111" s="107"/>
      <c r="D111" s="890">
        <f t="shared" ref="D111:D112" si="18">$AD111</f>
        <v>263.5</v>
      </c>
      <c r="E111" s="1523"/>
      <c r="F111" s="890"/>
      <c r="G111" s="1523"/>
      <c r="H111" s="890"/>
      <c r="I111" s="1523"/>
      <c r="J111" s="890"/>
      <c r="K111" s="1529"/>
      <c r="L111" s="890"/>
      <c r="M111" s="1529"/>
      <c r="N111" s="890"/>
      <c r="O111" s="1529"/>
      <c r="P111" s="1781"/>
      <c r="Q111" s="1990"/>
      <c r="R111" s="1781"/>
      <c r="S111" s="1990"/>
      <c r="T111" s="1781"/>
      <c r="U111" s="1990"/>
      <c r="V111" s="1781"/>
      <c r="W111" s="1990"/>
      <c r="X111" s="1781"/>
      <c r="Y111" s="1990"/>
      <c r="Z111" s="1781"/>
      <c r="AA111" s="1991"/>
      <c r="AB111" s="1992"/>
      <c r="AC111" s="1994"/>
      <c r="AD111" s="1781">
        <v>263.5</v>
      </c>
      <c r="AE111" s="2024"/>
      <c r="AF111" s="3161"/>
      <c r="AG111" s="1781">
        <v>222.7</v>
      </c>
      <c r="AH111" s="1067"/>
      <c r="AI111" s="67"/>
      <c r="AJ111" s="889">
        <f>ROUND(SUM(+AD111-AG111),1)</f>
        <v>40.799999999999997</v>
      </c>
      <c r="AK111" s="889"/>
      <c r="AL111" s="1810">
        <f>ROUND(IF(AG111=0,0,AJ111/ABS(AG111)),3)</f>
        <v>0.183</v>
      </c>
      <c r="AM111" s="1811"/>
    </row>
    <row r="112" spans="1:39" s="881" customFormat="1" ht="15" customHeight="1">
      <c r="A112" s="1064"/>
      <c r="B112" s="107" t="s">
        <v>173</v>
      </c>
      <c r="C112" s="107"/>
      <c r="D112" s="890">
        <f t="shared" si="18"/>
        <v>-9.5</v>
      </c>
      <c r="E112" s="1523"/>
      <c r="F112" s="890"/>
      <c r="G112" s="1523"/>
      <c r="H112" s="890"/>
      <c r="I112" s="1523"/>
      <c r="J112" s="890"/>
      <c r="K112" s="1529"/>
      <c r="L112" s="890"/>
      <c r="M112" s="1529"/>
      <c r="N112" s="890"/>
      <c r="O112" s="1529"/>
      <c r="P112" s="1781"/>
      <c r="Q112" s="1990"/>
      <c r="R112" s="1781"/>
      <c r="S112" s="1990"/>
      <c r="T112" s="1781"/>
      <c r="U112" s="1990"/>
      <c r="V112" s="1781"/>
      <c r="W112" s="1990"/>
      <c r="X112" s="1781"/>
      <c r="Y112" s="1990"/>
      <c r="Z112" s="1781"/>
      <c r="AA112" s="1991"/>
      <c r="AB112" s="1992"/>
      <c r="AC112" s="1994"/>
      <c r="AD112" s="1781">
        <v>-9.5</v>
      </c>
      <c r="AE112" s="2024"/>
      <c r="AF112" s="3161"/>
      <c r="AG112" s="3410">
        <v>2.7</v>
      </c>
      <c r="AH112" s="1067"/>
      <c r="AI112" s="67"/>
      <c r="AJ112" s="1018">
        <f>ROUND(SUM(+AD112-AG112)*-1,1)</f>
        <v>12.2</v>
      </c>
      <c r="AK112" s="1018"/>
      <c r="AL112" s="2119">
        <f>ROUND(IF(AG112=0,0,AJ112/ABS(AG112)),3)</f>
        <v>4.5190000000000001</v>
      </c>
      <c r="AM112" s="1811"/>
    </row>
    <row r="113" spans="1:49"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66"/>
      <c r="AG113" s="67"/>
      <c r="AH113" s="275"/>
      <c r="AI113" s="56"/>
      <c r="AJ113" s="1399"/>
      <c r="AK113" s="914"/>
      <c r="AL113" s="1439"/>
      <c r="AM113" s="778"/>
    </row>
    <row r="114" spans="1:49" ht="15" customHeight="1">
      <c r="A114" s="150"/>
      <c r="B114" s="29" t="s">
        <v>1098</v>
      </c>
      <c r="C114" s="31"/>
      <c r="D114" s="916">
        <f>ROUND(SUM(D111:D113),1)</f>
        <v>254</v>
      </c>
      <c r="E114" s="916"/>
      <c r="F114" s="916">
        <f>ROUND(SUM(F111:F113),1)</f>
        <v>0</v>
      </c>
      <c r="G114" s="916"/>
      <c r="H114" s="916">
        <f>ROUND(SUM(H111:H113),1)</f>
        <v>0</v>
      </c>
      <c r="I114" s="916"/>
      <c r="J114" s="916">
        <f>ROUND(SUM(J111:J113),1)</f>
        <v>0</v>
      </c>
      <c r="K114" s="916"/>
      <c r="L114" s="916">
        <f>ROUND(SUM(L111:L113),1)</f>
        <v>0</v>
      </c>
      <c r="M114" s="916"/>
      <c r="N114" s="916">
        <f>ROUND(SUM(N111:N113),1)</f>
        <v>0</v>
      </c>
      <c r="O114" s="916"/>
      <c r="P114" s="916">
        <f>ROUND(SUM(P111:P113),1)</f>
        <v>0</v>
      </c>
      <c r="Q114" s="916"/>
      <c r="R114" s="916">
        <f>ROUND(SUM(R111:R113),1)</f>
        <v>0</v>
      </c>
      <c r="S114" s="916"/>
      <c r="T114" s="916">
        <f>ROUND(SUM(T111:T113),1)</f>
        <v>0</v>
      </c>
      <c r="U114" s="916"/>
      <c r="V114" s="916">
        <f>ROUND(SUM(V111:V113),1)</f>
        <v>0</v>
      </c>
      <c r="W114" s="916"/>
      <c r="X114" s="916">
        <f>ROUND(SUM(X111:X113),1)</f>
        <v>0</v>
      </c>
      <c r="Y114" s="916"/>
      <c r="Z114" s="916">
        <f>ROUND(SUM(Z111:Z113),1)</f>
        <v>0</v>
      </c>
      <c r="AA114" s="916"/>
      <c r="AB114" s="916"/>
      <c r="AC114" s="64"/>
      <c r="AD114" s="112">
        <f>ROUND(SUM(AD111:AD113),1)</f>
        <v>254</v>
      </c>
      <c r="AE114" s="115"/>
      <c r="AF114" s="3164"/>
      <c r="AG114" s="112">
        <f>ROUND(SUM(AG111:AG113),1)</f>
        <v>225.4</v>
      </c>
      <c r="AH114" s="282"/>
      <c r="AI114" s="76"/>
      <c r="AJ114" s="74">
        <f>ROUND(SUM(AD114-AG114),1)</f>
        <v>28.6</v>
      </c>
      <c r="AK114" s="166"/>
      <c r="AL114" s="1428">
        <f>ROUND(SUM((AD114-AG114)/ABS(AG114)),3)</f>
        <v>0.127</v>
      </c>
      <c r="AM114" s="1364"/>
    </row>
    <row r="115" spans="1:49"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66"/>
      <c r="AG115" s="126"/>
      <c r="AH115" s="275"/>
      <c r="AI115" s="56"/>
      <c r="AJ115" s="639"/>
      <c r="AK115" s="914"/>
      <c r="AL115" s="1425"/>
      <c r="AM115" s="778"/>
    </row>
    <row r="116" spans="1:49" ht="15" customHeight="1">
      <c r="A116" s="150"/>
      <c r="B116" s="29" t="s">
        <v>164</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66"/>
      <c r="AG116" s="118"/>
      <c r="AH116" s="275"/>
      <c r="AI116" s="56"/>
      <c r="AJ116" s="639"/>
      <c r="AK116" s="914"/>
      <c r="AL116" s="1425"/>
      <c r="AM116" s="778"/>
    </row>
    <row r="117" spans="1:49" ht="15" customHeight="1">
      <c r="A117" s="150"/>
      <c r="B117" s="29" t="s">
        <v>1147</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66"/>
      <c r="AG117" s="139"/>
      <c r="AH117" s="275"/>
      <c r="AI117" s="56"/>
      <c r="AJ117" s="639"/>
      <c r="AK117" s="914"/>
      <c r="AL117" s="1425"/>
      <c r="AM117" s="778"/>
    </row>
    <row r="118" spans="1:49" ht="15" customHeight="1">
      <c r="A118" s="150"/>
      <c r="B118" s="29" t="s">
        <v>1094</v>
      </c>
      <c r="C118" s="31"/>
      <c r="D118" s="823">
        <f>ROUND(SUM(D108+D114),1)</f>
        <v>620.70000000000005</v>
      </c>
      <c r="E118" s="1524"/>
      <c r="F118" s="823">
        <f>ROUND(SUM(F108+F114),1)</f>
        <v>0</v>
      </c>
      <c r="G118" s="1524"/>
      <c r="H118" s="823">
        <f>ROUND(SUM(H108+H114),1)</f>
        <v>0</v>
      </c>
      <c r="I118" s="1524"/>
      <c r="J118" s="823">
        <f>ROUND(SUM(J108+J114),1)</f>
        <v>0</v>
      </c>
      <c r="K118" s="1524"/>
      <c r="L118" s="823">
        <f>ROUND(SUM(L108+L114),1)</f>
        <v>0</v>
      </c>
      <c r="M118" s="1524"/>
      <c r="N118" s="823">
        <f>ROUND(SUM(N108+N114),1)</f>
        <v>0</v>
      </c>
      <c r="O118" s="1524"/>
      <c r="P118" s="823">
        <f>ROUND(SUM(P108+P114),1)</f>
        <v>0</v>
      </c>
      <c r="Q118" s="1524"/>
      <c r="R118" s="823">
        <f>ROUND(SUM(R108+R114),1)</f>
        <v>0</v>
      </c>
      <c r="S118" s="1524"/>
      <c r="T118" s="823">
        <f>ROUND(SUM(T108+T114),1)</f>
        <v>0</v>
      </c>
      <c r="U118" s="1524"/>
      <c r="V118" s="823">
        <f>ROUND(SUM(V108+V114),1)</f>
        <v>0</v>
      </c>
      <c r="W118" s="1524"/>
      <c r="X118" s="823">
        <f>ROUND(SUM(X108+X114),1)</f>
        <v>0</v>
      </c>
      <c r="Y118" s="1524"/>
      <c r="Z118" s="823">
        <f>ROUND(SUM(Z108+Z114),1)</f>
        <v>0</v>
      </c>
      <c r="AA118" s="1524"/>
      <c r="AB118" s="1851"/>
      <c r="AC118" s="1524"/>
      <c r="AD118" s="1101">
        <f>ROUND(SUM(AD108+AD114),1)</f>
        <v>620.70000000000005</v>
      </c>
      <c r="AE118" s="3154"/>
      <c r="AF118" s="115"/>
      <c r="AG118" s="1101">
        <f>ROUND(SUM(AG108+AG114),1)</f>
        <v>295.5</v>
      </c>
      <c r="AH118" s="275"/>
      <c r="AI118" s="1524"/>
      <c r="AJ118" s="823">
        <f>ROUND(SUM(AJ108+AJ114),1)</f>
        <v>325.2</v>
      </c>
      <c r="AK118" s="1524"/>
      <c r="AL118" s="1850">
        <f>ROUND(IF(AG118=0,0,AJ118/ABS(AG118)),3)</f>
        <v>1.101</v>
      </c>
      <c r="AM118" s="778"/>
    </row>
    <row r="119" spans="1:49"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68"/>
      <c r="AD119" s="117"/>
      <c r="AE119" s="117"/>
      <c r="AF119" s="3165"/>
      <c r="AG119" s="117"/>
      <c r="AH119" s="59"/>
      <c r="AI119" s="271"/>
      <c r="AJ119" s="1401"/>
      <c r="AK119" s="1401"/>
      <c r="AL119" s="1440"/>
      <c r="AM119" s="778"/>
    </row>
    <row r="120" spans="1:49" ht="17.25" customHeight="1" thickBot="1">
      <c r="A120" s="150"/>
      <c r="B120" s="29" t="s">
        <v>1104</v>
      </c>
      <c r="C120" s="31"/>
      <c r="D120" s="267">
        <f>ROUND(SUM(+D118+D13),1)</f>
        <v>6329.3</v>
      </c>
      <c r="E120" s="165"/>
      <c r="F120" s="267">
        <f>ROUND(SUM(+F118+F13),1)</f>
        <v>0</v>
      </c>
      <c r="G120" s="165"/>
      <c r="H120" s="267">
        <f>ROUND(SUM(+H118+H13),1)</f>
        <v>0</v>
      </c>
      <c r="I120" s="165"/>
      <c r="J120" s="267">
        <f>ROUND(SUM(+J118+J13),1)</f>
        <v>0</v>
      </c>
      <c r="K120" s="165"/>
      <c r="L120" s="267">
        <f>ROUND(SUM(+L118+L13),1)</f>
        <v>0</v>
      </c>
      <c r="M120" s="165"/>
      <c r="N120" s="267">
        <f>ROUND(SUM(+N118+N13),1)</f>
        <v>0</v>
      </c>
      <c r="O120" s="165"/>
      <c r="P120" s="267">
        <f>ROUND(SUM(+P118+P13),1)</f>
        <v>0</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1968"/>
      <c r="AD120" s="262">
        <f>ROUND(SUM(+AD118+AD13),1)</f>
        <v>6329.3</v>
      </c>
      <c r="AE120" s="117"/>
      <c r="AF120" s="3165"/>
      <c r="AG120" s="262">
        <f>ROUND(SUM(+AG118+AG13),1)</f>
        <v>5696.2</v>
      </c>
      <c r="AH120" s="59"/>
      <c r="AI120" s="271"/>
      <c r="AJ120" s="267">
        <f>ROUND(SUM(+AJ118+AJ13),1)</f>
        <v>633.1</v>
      </c>
      <c r="AK120" s="1401"/>
      <c r="AL120" s="1848">
        <f>ROUND(IF(AG120=0,0,AJ120/ABS(AG120)),3)</f>
        <v>0.111</v>
      </c>
      <c r="AM120" s="778"/>
    </row>
    <row r="121" spans="1:49"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1"/>
      <c r="AK121" s="1401"/>
      <c r="AL121" s="1440"/>
      <c r="AM121" s="778"/>
    </row>
    <row r="122" spans="1:49"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645" t="s">
        <v>14</v>
      </c>
      <c r="AH122" s="59"/>
      <c r="AI122" s="37"/>
      <c r="AJ122" s="1401"/>
      <c r="AK122" s="1401"/>
      <c r="AL122" s="1440"/>
      <c r="AM122" s="778"/>
    </row>
    <row r="123" spans="1:49" ht="15" customHeight="1">
      <c r="B123" s="914"/>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13"/>
      <c r="AE123" s="2113"/>
      <c r="AF123" s="2113"/>
      <c r="AG123" s="1015" t="s">
        <v>14</v>
      </c>
      <c r="AH123" s="268"/>
      <c r="AI123" s="268"/>
      <c r="AJ123" s="1400"/>
      <c r="AK123" s="1400"/>
      <c r="AL123" s="1425"/>
      <c r="AM123" s="778"/>
      <c r="AN123" s="295"/>
      <c r="AO123" s="295"/>
      <c r="AP123" s="295"/>
      <c r="AQ123" s="295"/>
      <c r="AR123" s="295"/>
      <c r="AS123" s="295"/>
      <c r="AT123" s="295"/>
      <c r="AU123" s="295"/>
      <c r="AV123" s="295"/>
      <c r="AW123" s="295"/>
    </row>
    <row r="124" spans="1:49" ht="15" customHeight="1">
      <c r="B124" s="30"/>
      <c r="AL124" s="1442"/>
      <c r="AM124" s="778"/>
    </row>
    <row r="125" spans="1:49" ht="15" customHeight="1">
      <c r="B125" s="30"/>
      <c r="AL125" s="1442"/>
      <c r="AM125" s="778"/>
    </row>
    <row r="126" spans="1:49">
      <c r="AL126" s="1442"/>
      <c r="AM126" s="778"/>
    </row>
    <row r="127" spans="1:49" ht="15" customHeight="1">
      <c r="AL127" s="1442"/>
      <c r="AM127" s="778"/>
    </row>
    <row r="128" spans="1:49" ht="15" customHeight="1">
      <c r="D128" s="914"/>
      <c r="F128" s="914"/>
      <c r="H128" s="914"/>
      <c r="AJ128" s="1849"/>
      <c r="AL128" s="1442"/>
      <c r="AM128" s="778"/>
    </row>
    <row r="129" spans="38:39" ht="15" customHeight="1">
      <c r="AL129" s="778"/>
      <c r="AM129" s="778"/>
    </row>
    <row r="130" spans="38:39" ht="15" customHeight="1">
      <c r="AL130" s="778"/>
      <c r="AM130" s="778"/>
    </row>
    <row r="131" spans="38:39" ht="15" customHeight="1">
      <c r="AL131" s="778"/>
      <c r="AM131" s="778"/>
    </row>
    <row r="132" spans="38:39" ht="15" customHeight="1">
      <c r="AL132" s="778"/>
      <c r="AM132" s="778"/>
    </row>
    <row r="133" spans="38:39" ht="15" customHeight="1">
      <c r="AL133" s="778"/>
      <c r="AM133" s="778"/>
    </row>
    <row r="134" spans="38:39" ht="15" customHeight="1">
      <c r="AL134" s="778"/>
      <c r="AM134" s="778"/>
    </row>
    <row r="135" spans="38:39" ht="15" customHeight="1">
      <c r="AL135" s="778"/>
      <c r="AM135" s="778"/>
    </row>
    <row r="136" spans="38:39" ht="15" customHeight="1">
      <c r="AL136" s="778"/>
      <c r="AM136" s="778"/>
    </row>
    <row r="137" spans="38:39" ht="15" customHeight="1">
      <c r="AL137" s="778"/>
      <c r="AM137" s="778"/>
    </row>
    <row r="138" spans="38:39" ht="15" customHeight="1">
      <c r="AL138" s="778"/>
      <c r="AM138" s="778"/>
    </row>
    <row r="139" spans="38:39" ht="15" customHeight="1">
      <c r="AL139" s="778"/>
      <c r="AM139" s="778"/>
    </row>
    <row r="140" spans="38:39" ht="15" customHeight="1">
      <c r="AL140" s="778"/>
      <c r="AM140" s="778"/>
    </row>
    <row r="141" spans="38:39" ht="15" customHeight="1">
      <c r="AL141" s="778"/>
      <c r="AM141" s="778"/>
    </row>
    <row r="142" spans="38:39" ht="15" customHeight="1">
      <c r="AL142" s="778"/>
      <c r="AM142" s="778"/>
    </row>
    <row r="143" spans="38:39" ht="15" customHeight="1">
      <c r="AL143" s="778"/>
      <c r="AM143" s="778"/>
    </row>
    <row r="144" spans="38:39" ht="15" customHeight="1">
      <c r="AL144" s="778"/>
      <c r="AM144" s="778"/>
    </row>
    <row r="145" spans="38:39" ht="15" customHeight="1">
      <c r="AL145" s="778"/>
      <c r="AM145" s="778"/>
    </row>
    <row r="146" spans="38:39" ht="15" customHeight="1">
      <c r="AL146" s="778"/>
      <c r="AM146" s="778"/>
    </row>
    <row r="147" spans="38:39" ht="15" customHeight="1">
      <c r="AL147" s="778"/>
      <c r="AM147" s="778"/>
    </row>
    <row r="148" spans="38:39" ht="15" customHeight="1">
      <c r="AL148" s="778"/>
      <c r="AM148" s="778"/>
    </row>
    <row r="149" spans="38:39" ht="15" customHeight="1">
      <c r="AL149" s="778"/>
      <c r="AM149" s="778"/>
    </row>
    <row r="150" spans="38:39" ht="15" customHeight="1">
      <c r="AL150" s="778"/>
      <c r="AM150" s="778"/>
    </row>
    <row r="151" spans="38:39" ht="15" customHeight="1">
      <c r="AL151" s="778"/>
      <c r="AM151" s="778"/>
    </row>
    <row r="152" spans="38:39" ht="15" customHeight="1">
      <c r="AL152" s="778"/>
      <c r="AM152" s="778"/>
    </row>
    <row r="153" spans="38:39" ht="15" customHeight="1">
      <c r="AL153" s="778"/>
      <c r="AM153" s="778"/>
    </row>
    <row r="154" spans="38:39" ht="15" customHeight="1">
      <c r="AL154" s="778"/>
      <c r="AM154" s="778"/>
    </row>
    <row r="155" spans="38:39" ht="11.25" customHeight="1">
      <c r="AL155" s="778"/>
      <c r="AM155" s="778"/>
    </row>
    <row r="156" spans="38:39" ht="15" customHeight="1">
      <c r="AL156" s="778"/>
      <c r="AM156" s="778"/>
    </row>
    <row r="157" spans="38:39" ht="15" customHeight="1">
      <c r="AL157" s="778"/>
      <c r="AM157" s="778"/>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1 AL67 AL36 AL38:AL40 AL24:AL25 AL20 AL28:AL35" unlockedFormula="1"/>
    <ignoredError sqref="AL80" evalError="1"/>
    <ignoredError sqref="AL73:AL75 AL23 AL51 AJ71:AM71 AJ73:AK73 AM73 AJ72:AK72 AM72 AJ70:AK70 AM70 AL96 AL69 AL58"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765625" defaultRowHeight="12.5"/>
  <cols>
    <col min="1" max="1" width="1.765625" style="247" customWidth="1"/>
    <col min="2" max="2" width="44.765625" style="247" customWidth="1"/>
    <col min="3" max="3" width="1.765625" style="247" customWidth="1"/>
    <col min="4" max="4" width="15.07421875" style="247" bestFit="1" customWidth="1"/>
    <col min="5" max="5" width="1.765625" style="247" customWidth="1"/>
    <col min="6" max="6" width="12" style="247" customWidth="1"/>
    <col min="7" max="7" width="1.765625" style="247" customWidth="1"/>
    <col min="8" max="8" width="11.07421875" style="247" bestFit="1" customWidth="1"/>
    <col min="9" max="9" width="1.765625" style="247" customWidth="1"/>
    <col min="10" max="10" width="11" style="247" customWidth="1"/>
    <col min="11" max="11" width="1.765625" style="247" customWidth="1"/>
    <col min="12" max="12" width="11.07421875" style="247" customWidth="1"/>
    <col min="13" max="13" width="1.765625" style="247" customWidth="1"/>
    <col min="14" max="14" width="12.07421875" style="247" customWidth="1"/>
    <col min="15" max="15" width="1.765625" style="247" customWidth="1"/>
    <col min="16" max="16" width="11" style="247" bestFit="1" customWidth="1"/>
    <col min="17" max="17" width="1.765625" style="247" customWidth="1"/>
    <col min="18" max="18" width="11.53515625" style="247" bestFit="1" customWidth="1"/>
    <col min="19" max="19" width="1.765625" style="247" customWidth="1"/>
    <col min="20" max="20" width="11.4609375" style="247" customWidth="1"/>
    <col min="21" max="21" width="1.765625" style="247" customWidth="1"/>
    <col min="22" max="22" width="11.07421875" style="247" customWidth="1"/>
    <col min="23" max="23" width="1.765625" style="247" customWidth="1"/>
    <col min="24" max="24" width="11.07421875" style="247" bestFit="1" customWidth="1"/>
    <col min="25" max="25" width="1.765625" style="247" customWidth="1"/>
    <col min="26" max="26" width="10.765625" style="247" bestFit="1" customWidth="1"/>
    <col min="27" max="27" width="1" style="247" customWidth="1"/>
    <col min="28" max="29" width="1.765625" style="247" customWidth="1"/>
    <col min="30" max="30" width="12.07421875" style="881" customWidth="1"/>
    <col min="31" max="32" width="1.07421875" style="881" customWidth="1"/>
    <col min="33" max="33" width="11.765625" style="881" customWidth="1"/>
    <col min="34" max="34" width="1.4609375" style="247" customWidth="1"/>
    <col min="35" max="35" width="0.765625" style="247" customWidth="1"/>
    <col min="36" max="36" width="13.07421875" style="247" bestFit="1" customWidth="1"/>
    <col min="37" max="37" width="0.765625" style="247" customWidth="1"/>
    <col min="38" max="38" width="13.765625" style="778" bestFit="1" customWidth="1"/>
    <col min="39" max="16384" width="8.765625" style="247"/>
  </cols>
  <sheetData>
    <row r="1" spans="1:41" ht="15.5">
      <c r="B1" s="640" t="s">
        <v>885</v>
      </c>
    </row>
    <row r="2" spans="1:41" ht="15.5">
      <c r="A2" s="246"/>
      <c r="M2" s="29"/>
      <c r="N2" s="29"/>
      <c r="O2" s="265"/>
    </row>
    <row r="3" spans="1:41" ht="18">
      <c r="A3" s="246"/>
      <c r="B3" s="249" t="s">
        <v>0</v>
      </c>
      <c r="M3" s="29"/>
      <c r="N3" s="29"/>
      <c r="O3" s="265"/>
      <c r="AF3" s="3092"/>
      <c r="AG3" s="3437"/>
      <c r="AH3" s="288"/>
      <c r="AI3" s="288"/>
      <c r="AJ3" s="288"/>
      <c r="AK3" s="288"/>
      <c r="AL3" s="250" t="s">
        <v>167</v>
      </c>
    </row>
    <row r="4" spans="1:41" ht="18">
      <c r="A4" s="246"/>
      <c r="B4" s="249" t="s">
        <v>176</v>
      </c>
      <c r="L4" s="29"/>
      <c r="M4" s="29"/>
      <c r="O4" s="265"/>
    </row>
    <row r="5" spans="1:41" ht="18">
      <c r="A5" s="246"/>
      <c r="B5" s="1526" t="s">
        <v>147</v>
      </c>
      <c r="L5" s="265"/>
      <c r="M5" s="265"/>
      <c r="O5" s="265"/>
      <c r="X5" s="289"/>
    </row>
    <row r="6" spans="1:41" ht="20">
      <c r="A6" s="246"/>
      <c r="B6" s="1526" t="str">
        <f>'Cashflow Governmental'!A6</f>
        <v xml:space="preserve">FISCAL YEAR 2021-2022   </v>
      </c>
      <c r="L6" s="265"/>
      <c r="M6" s="265"/>
      <c r="O6" s="265"/>
      <c r="AL6" s="779"/>
    </row>
    <row r="7" spans="1:41" ht="18">
      <c r="A7" s="246"/>
      <c r="B7" s="249" t="s">
        <v>1283</v>
      </c>
      <c r="AI7" s="150"/>
      <c r="AJ7" s="150"/>
      <c r="AK7" s="150"/>
      <c r="AL7" s="780"/>
    </row>
    <row r="8" spans="1:41" ht="13.5" customHeight="1">
      <c r="A8" s="246"/>
      <c r="B8" s="296"/>
      <c r="AI8" s="150"/>
      <c r="AJ8" s="150"/>
      <c r="AK8" s="150"/>
      <c r="AL8" s="780"/>
    </row>
    <row r="9" spans="1:41" ht="15.5">
      <c r="A9" s="246"/>
      <c r="L9" s="265"/>
      <c r="M9" s="265"/>
      <c r="N9" s="265"/>
      <c r="O9" s="265"/>
      <c r="AC9" s="3935" t="str">
        <f>'Exhibit G'!AC9:AL9</f>
        <v>1 Month Ended April 30</v>
      </c>
      <c r="AD9" s="3935"/>
      <c r="AE9" s="3935"/>
      <c r="AF9" s="3935"/>
      <c r="AG9" s="3935"/>
      <c r="AH9" s="3935"/>
      <c r="AI9" s="3935"/>
      <c r="AJ9" s="3935"/>
      <c r="AK9" s="3935"/>
      <c r="AL9" s="3935"/>
    </row>
    <row r="10" spans="1:41" ht="15.5">
      <c r="A10" s="246"/>
      <c r="B10" s="30"/>
      <c r="C10" s="30"/>
      <c r="D10" s="740" t="str">
        <f>'Cashflow Governmental'!C13</f>
        <v>2021</v>
      </c>
      <c r="E10" s="29"/>
      <c r="F10" s="29"/>
      <c r="G10" s="29"/>
      <c r="H10" s="29"/>
      <c r="I10" s="29"/>
      <c r="J10" s="29"/>
      <c r="K10" s="29"/>
      <c r="L10" s="29"/>
      <c r="M10" s="29"/>
      <c r="N10" s="29"/>
      <c r="O10" s="29"/>
      <c r="P10" s="29"/>
      <c r="Q10" s="29"/>
      <c r="R10" s="29"/>
      <c r="S10" s="29"/>
      <c r="T10" s="29"/>
      <c r="U10" s="29"/>
      <c r="V10" s="740">
        <f>'Cashflow Governmental'!U13</f>
        <v>2022</v>
      </c>
      <c r="W10" s="29"/>
      <c r="X10" s="29"/>
      <c r="Y10" s="29"/>
      <c r="Z10" s="29"/>
      <c r="AA10" s="29"/>
      <c r="AB10" s="29"/>
      <c r="AC10" s="29"/>
      <c r="AD10" s="3149"/>
      <c r="AE10" s="3149"/>
      <c r="AF10" s="3149"/>
      <c r="AG10" s="3149"/>
      <c r="AH10" s="210"/>
      <c r="AI10" s="209"/>
      <c r="AJ10" s="744" t="s">
        <v>7</v>
      </c>
      <c r="AK10" s="744"/>
      <c r="AL10" s="781" t="s">
        <v>8</v>
      </c>
      <c r="AM10" s="747"/>
      <c r="AN10" s="747"/>
      <c r="AO10" s="747"/>
    </row>
    <row r="11" spans="1:41" ht="15.5">
      <c r="A11" s="246"/>
      <c r="B11" s="30"/>
      <c r="C11" s="30"/>
      <c r="D11" s="731" t="s">
        <v>123</v>
      </c>
      <c r="E11" s="29"/>
      <c r="F11" s="731" t="s">
        <v>124</v>
      </c>
      <c r="G11" s="29"/>
      <c r="H11" s="731" t="s">
        <v>125</v>
      </c>
      <c r="I11" s="29"/>
      <c r="J11" s="731" t="s">
        <v>126</v>
      </c>
      <c r="K11" s="29"/>
      <c r="L11" s="731" t="s">
        <v>127</v>
      </c>
      <c r="M11" s="29"/>
      <c r="N11" s="731" t="s">
        <v>142</v>
      </c>
      <c r="O11" s="29"/>
      <c r="P11" s="731" t="s">
        <v>143</v>
      </c>
      <c r="Q11" s="29"/>
      <c r="R11" s="731" t="s">
        <v>130</v>
      </c>
      <c r="S11" s="29"/>
      <c r="T11" s="731" t="s">
        <v>131</v>
      </c>
      <c r="U11" s="29"/>
      <c r="V11" s="731" t="s">
        <v>132</v>
      </c>
      <c r="W11" s="29"/>
      <c r="X11" s="731" t="s">
        <v>133</v>
      </c>
      <c r="Y11" s="29"/>
      <c r="Z11" s="731" t="s">
        <v>184</v>
      </c>
      <c r="AA11" s="731"/>
      <c r="AB11" s="29"/>
      <c r="AC11" s="29"/>
      <c r="AD11" s="735">
        <f>'Cashflow Governmental'!AB14</f>
        <v>2021</v>
      </c>
      <c r="AE11" s="735"/>
      <c r="AF11" s="105" t="s">
        <v>14</v>
      </c>
      <c r="AG11" s="735">
        <f>'Cashflow Governmental'!AE14</f>
        <v>2020</v>
      </c>
      <c r="AH11" s="730"/>
      <c r="AI11" s="209"/>
      <c r="AJ11" s="749" t="s">
        <v>11</v>
      </c>
      <c r="AK11" s="743"/>
      <c r="AL11" s="782" t="s">
        <v>12</v>
      </c>
      <c r="AM11" s="747"/>
      <c r="AN11" s="747"/>
      <c r="AO11" s="747"/>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3"/>
      <c r="AD12" s="3166"/>
      <c r="AE12" s="3166"/>
      <c r="AF12" s="3156"/>
      <c r="AG12" s="3166"/>
      <c r="AH12" s="37"/>
      <c r="AI12" s="271"/>
      <c r="AJ12" s="30"/>
      <c r="AK12" s="30"/>
      <c r="AL12" s="264"/>
    </row>
    <row r="13" spans="1:41" ht="15.5">
      <c r="A13" s="246"/>
      <c r="B13" s="1843" t="s">
        <v>1172</v>
      </c>
      <c r="C13" s="30"/>
      <c r="D13" s="306">
        <v>4960.7</v>
      </c>
      <c r="E13" s="30"/>
      <c r="F13" s="219"/>
      <c r="G13" s="30"/>
      <c r="H13" s="219"/>
      <c r="I13" s="30"/>
      <c r="J13" s="219"/>
      <c r="K13" s="30"/>
      <c r="L13" s="219"/>
      <c r="M13" s="30"/>
      <c r="N13" s="219"/>
      <c r="O13" s="30"/>
      <c r="P13" s="219"/>
      <c r="Q13" s="30"/>
      <c r="R13" s="219"/>
      <c r="S13" s="30"/>
      <c r="T13" s="219"/>
      <c r="U13" s="30"/>
      <c r="V13" s="219"/>
      <c r="W13" s="30"/>
      <c r="X13" s="219"/>
      <c r="Y13" s="30"/>
      <c r="Z13" s="219"/>
      <c r="AA13" s="37"/>
      <c r="AB13" s="30"/>
      <c r="AC13" s="1053"/>
      <c r="AD13" s="139">
        <f>D13</f>
        <v>4960.7</v>
      </c>
      <c r="AE13" s="1083"/>
      <c r="AF13" s="3156"/>
      <c r="AG13" s="139">
        <v>911.4</v>
      </c>
      <c r="AH13" s="37"/>
      <c r="AI13" s="271"/>
      <c r="AJ13" s="94">
        <f>+AD13-AG13</f>
        <v>4049.2999999999997</v>
      </c>
      <c r="AK13" s="30"/>
      <c r="AL13" s="273">
        <f>-AJ13/AG13</f>
        <v>-4.4429449199034448</v>
      </c>
    </row>
    <row r="14" spans="1:41" ht="15.5">
      <c r="A14" s="246"/>
      <c r="B14" s="1843"/>
      <c r="C14" s="30"/>
      <c r="D14" s="37"/>
      <c r="E14" s="30"/>
      <c r="F14" s="37"/>
      <c r="G14" s="30"/>
      <c r="H14" s="37"/>
      <c r="I14" s="30"/>
      <c r="J14" s="37"/>
      <c r="K14" s="30"/>
      <c r="L14" s="37"/>
      <c r="M14" s="30"/>
      <c r="N14" s="1052"/>
      <c r="O14" s="30"/>
      <c r="P14" s="37"/>
      <c r="Q14" s="30"/>
      <c r="R14" s="37"/>
      <c r="S14" s="30"/>
      <c r="T14" s="37"/>
      <c r="U14" s="30"/>
      <c r="V14" s="37"/>
      <c r="W14" s="30"/>
      <c r="X14" s="37"/>
      <c r="Y14" s="30"/>
      <c r="Z14" s="37"/>
      <c r="AA14" s="37"/>
      <c r="AB14" s="1853"/>
      <c r="AC14" s="37"/>
      <c r="AD14" s="1083"/>
      <c r="AE14" s="1083"/>
      <c r="AF14" s="3156"/>
      <c r="AG14" s="1083"/>
      <c r="AH14" s="274"/>
      <c r="AI14" s="37"/>
      <c r="AJ14" s="30"/>
      <c r="AK14" s="30"/>
      <c r="AL14" s="264"/>
    </row>
    <row r="15" spans="1:41" ht="15" customHeight="1">
      <c r="A15" s="150"/>
      <c r="B15" s="29" t="s">
        <v>13</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57"/>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67"/>
      <c r="AF16" s="3170"/>
      <c r="AG16" s="357"/>
      <c r="AH16" s="293"/>
      <c r="AI16" s="37"/>
      <c r="AJ16" s="937"/>
      <c r="AK16" s="639"/>
      <c r="AL16" s="904"/>
    </row>
    <row r="17" spans="1:39" ht="15" customHeight="1">
      <c r="A17" s="150"/>
      <c r="B17" s="261" t="s">
        <v>933</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66"/>
      <c r="AG17" s="118"/>
      <c r="AH17" s="275"/>
      <c r="AI17" s="56"/>
      <c r="AJ17" s="937"/>
      <c r="AK17" s="937"/>
      <c r="AL17" s="664"/>
    </row>
    <row r="18" spans="1:39" ht="15" customHeight="1">
      <c r="A18" s="150"/>
      <c r="B18" s="886" t="s">
        <v>1052</v>
      </c>
      <c r="C18" s="31"/>
      <c r="D18" s="676" t="s">
        <v>14</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66"/>
      <c r="AG18" s="118"/>
      <c r="AH18" s="275"/>
      <c r="AI18" s="56"/>
      <c r="AJ18" s="937"/>
      <c r="AK18" s="937"/>
      <c r="AL18" s="664"/>
    </row>
    <row r="19" spans="1:39" ht="15" customHeight="1">
      <c r="A19" s="150"/>
      <c r="B19" s="886" t="s">
        <v>966</v>
      </c>
      <c r="C19" s="31"/>
      <c r="D19" s="678">
        <f>$AD19</f>
        <v>0</v>
      </c>
      <c r="E19" s="888"/>
      <c r="F19" s="678"/>
      <c r="G19" s="889"/>
      <c r="H19" s="678"/>
      <c r="I19" s="889"/>
      <c r="J19" s="678"/>
      <c r="K19" s="1529"/>
      <c r="L19" s="678"/>
      <c r="M19" s="1529"/>
      <c r="N19" s="678"/>
      <c r="O19" s="1788"/>
      <c r="P19" s="1781"/>
      <c r="Q19" s="1979"/>
      <c r="R19" s="1781"/>
      <c r="S19" s="1979"/>
      <c r="T19" s="1781"/>
      <c r="U19" s="1979"/>
      <c r="V19" s="1781"/>
      <c r="W19" s="1979"/>
      <c r="X19" s="1781"/>
      <c r="Y19" s="1979"/>
      <c r="Z19" s="1781"/>
      <c r="AA19" s="1980"/>
      <c r="AB19" s="1834"/>
      <c r="AC19" s="1981"/>
      <c r="AD19" s="1781">
        <v>0</v>
      </c>
      <c r="AE19" s="1992"/>
      <c r="AF19" s="1994"/>
      <c r="AG19" s="1781">
        <v>0</v>
      </c>
      <c r="AH19" s="1371"/>
      <c r="AI19" s="937"/>
      <c r="AJ19" s="889">
        <f>ROUND(SUM(+AD19-AG19),1)</f>
        <v>0</v>
      </c>
      <c r="AK19" s="937"/>
      <c r="AL19" s="1431">
        <f>ROUND(IF(AG19=0,0,AJ19/ABS(AG19)),3)</f>
        <v>0</v>
      </c>
    </row>
    <row r="20" spans="1:39" s="881" customFormat="1" ht="15" customHeight="1">
      <c r="A20" s="1064"/>
      <c r="B20" s="886" t="s">
        <v>1053</v>
      </c>
      <c r="C20" s="107"/>
      <c r="D20" s="678" t="s">
        <v>14</v>
      </c>
      <c r="E20" s="809"/>
      <c r="F20" s="678"/>
      <c r="G20" s="809"/>
      <c r="H20" s="678"/>
      <c r="I20" s="809"/>
      <c r="J20" s="678"/>
      <c r="K20" s="140"/>
      <c r="L20" s="678"/>
      <c r="M20" s="140"/>
      <c r="N20" s="678"/>
      <c r="O20" s="140"/>
      <c r="P20" s="1781"/>
      <c r="Q20" s="1983"/>
      <c r="R20" s="1781"/>
      <c r="S20" s="1983"/>
      <c r="T20" s="1781"/>
      <c r="U20" s="1983"/>
      <c r="V20" s="1781"/>
      <c r="W20" s="1987"/>
      <c r="X20" s="1781"/>
      <c r="Y20" s="1987"/>
      <c r="Z20" s="1781"/>
      <c r="AA20" s="1986"/>
      <c r="AB20" s="1983"/>
      <c r="AC20" s="1988"/>
      <c r="AD20" s="1987"/>
      <c r="AE20" s="1987"/>
      <c r="AF20" s="1989"/>
      <c r="AG20" s="1987"/>
      <c r="AH20" s="1067"/>
      <c r="AI20" s="67"/>
      <c r="AJ20" s="1018"/>
      <c r="AK20" s="1018"/>
      <c r="AL20" s="1441"/>
    </row>
    <row r="21" spans="1:39" s="881" customFormat="1" ht="15" customHeight="1">
      <c r="A21" s="1064"/>
      <c r="B21" s="886" t="s">
        <v>968</v>
      </c>
      <c r="C21" s="107"/>
      <c r="D21" s="678">
        <f t="shared" ref="D21:D24" si="0">$AD21</f>
        <v>5.5</v>
      </c>
      <c r="E21" s="809"/>
      <c r="F21" s="678"/>
      <c r="G21" s="809"/>
      <c r="H21" s="678"/>
      <c r="I21" s="809"/>
      <c r="J21" s="678"/>
      <c r="K21" s="1529"/>
      <c r="L21" s="678"/>
      <c r="M21" s="1529"/>
      <c r="N21" s="678"/>
      <c r="O21" s="1529"/>
      <c r="P21" s="1781"/>
      <c r="Q21" s="1990"/>
      <c r="R21" s="1781"/>
      <c r="S21" s="1990"/>
      <c r="T21" s="1781"/>
      <c r="U21" s="1990"/>
      <c r="V21" s="1781"/>
      <c r="W21" s="1990"/>
      <c r="X21" s="1781"/>
      <c r="Y21" s="1990"/>
      <c r="Z21" s="1781"/>
      <c r="AA21" s="1991"/>
      <c r="AB21" s="1992"/>
      <c r="AC21" s="1993"/>
      <c r="AD21" s="1781">
        <v>5.5</v>
      </c>
      <c r="AE21" s="1992"/>
      <c r="AF21" s="1994"/>
      <c r="AG21" s="1781">
        <v>4</v>
      </c>
      <c r="AH21" s="1067"/>
      <c r="AI21" s="67"/>
      <c r="AJ21" s="1018">
        <f t="shared" ref="AJ21:AJ51" si="1">ROUND(SUM(+AD21-AG21),1)</f>
        <v>1.5</v>
      </c>
      <c r="AK21" s="1018"/>
      <c r="AL21" s="1716">
        <f>ROUND(IF(AG21=0,0,AJ21/ABS(AG21)),3)</f>
        <v>0.375</v>
      </c>
      <c r="AM21" s="1800"/>
    </row>
    <row r="22" spans="1:39" ht="15" customHeight="1">
      <c r="A22" s="150"/>
      <c r="B22" s="886" t="s">
        <v>969</v>
      </c>
      <c r="C22" s="31"/>
      <c r="D22" s="678">
        <f t="shared" si="0"/>
        <v>0</v>
      </c>
      <c r="E22" s="809"/>
      <c r="F22" s="678"/>
      <c r="G22" s="809"/>
      <c r="H22" s="678"/>
      <c r="I22" s="809"/>
      <c r="J22" s="678"/>
      <c r="K22" s="1529"/>
      <c r="L22" s="678"/>
      <c r="M22" s="1529"/>
      <c r="N22" s="678"/>
      <c r="O22" s="1529"/>
      <c r="P22" s="1781"/>
      <c r="Q22" s="1990"/>
      <c r="R22" s="1781"/>
      <c r="S22" s="1990"/>
      <c r="T22" s="1781"/>
      <c r="U22" s="1990"/>
      <c r="V22" s="1781"/>
      <c r="W22" s="1990"/>
      <c r="X22" s="1781"/>
      <c r="Y22" s="1990"/>
      <c r="Z22" s="1781"/>
      <c r="AA22" s="1991"/>
      <c r="AB22" s="1992"/>
      <c r="AC22" s="1993"/>
      <c r="AD22" s="1781">
        <v>0</v>
      </c>
      <c r="AE22" s="1992"/>
      <c r="AF22" s="1994"/>
      <c r="AG22" s="1781">
        <v>0</v>
      </c>
      <c r="AH22" s="275"/>
      <c r="AI22" s="56"/>
      <c r="AJ22" s="937">
        <f t="shared" si="1"/>
        <v>0</v>
      </c>
      <c r="AK22" s="937"/>
      <c r="AL22" s="1431">
        <f>ROUND(IF(AG22=0,0,AJ22/ABS(AG22)),3)</f>
        <v>0</v>
      </c>
    </row>
    <row r="23" spans="1:39" ht="15" customHeight="1">
      <c r="A23" s="150"/>
      <c r="B23" s="886" t="s">
        <v>970</v>
      </c>
      <c r="C23" s="31"/>
      <c r="D23" s="678">
        <f t="shared" si="0"/>
        <v>0</v>
      </c>
      <c r="E23" s="809"/>
      <c r="F23" s="678"/>
      <c r="G23" s="809"/>
      <c r="H23" s="678"/>
      <c r="I23" s="809"/>
      <c r="J23" s="678"/>
      <c r="K23" s="1529"/>
      <c r="L23" s="678"/>
      <c r="M23" s="1529"/>
      <c r="N23" s="678"/>
      <c r="O23" s="1529"/>
      <c r="P23" s="1781"/>
      <c r="Q23" s="1990"/>
      <c r="R23" s="1781"/>
      <c r="S23" s="1990"/>
      <c r="T23" s="1781"/>
      <c r="U23" s="1990"/>
      <c r="V23" s="1781"/>
      <c r="W23" s="1990"/>
      <c r="X23" s="1781"/>
      <c r="Y23" s="1990"/>
      <c r="Z23" s="1781"/>
      <c r="AA23" s="1991"/>
      <c r="AB23" s="1992"/>
      <c r="AC23" s="1993"/>
      <c r="AD23" s="1781">
        <v>0</v>
      </c>
      <c r="AE23" s="1992"/>
      <c r="AF23" s="1994"/>
      <c r="AG23" s="1781">
        <v>0</v>
      </c>
      <c r="AH23" s="275"/>
      <c r="AI23" s="56"/>
      <c r="AJ23" s="937">
        <f t="shared" si="1"/>
        <v>0</v>
      </c>
      <c r="AK23" s="937"/>
      <c r="AL23" s="1431">
        <f>ROUND(IF(AG23=0,0,AJ23/ABS(AG23)),3)</f>
        <v>0</v>
      </c>
    </row>
    <row r="24" spans="1:39" ht="15" customHeight="1">
      <c r="A24" s="150"/>
      <c r="B24" s="886" t="s">
        <v>971</v>
      </c>
      <c r="C24" s="31"/>
      <c r="D24" s="678">
        <f t="shared" si="0"/>
        <v>0</v>
      </c>
      <c r="E24" s="809"/>
      <c r="F24" s="678"/>
      <c r="G24" s="809"/>
      <c r="H24" s="678"/>
      <c r="I24" s="809"/>
      <c r="J24" s="678"/>
      <c r="K24" s="1529"/>
      <c r="L24" s="678"/>
      <c r="M24" s="1529"/>
      <c r="N24" s="678"/>
      <c r="O24" s="1529"/>
      <c r="P24" s="1781"/>
      <c r="Q24" s="1990"/>
      <c r="R24" s="1781"/>
      <c r="S24" s="1990"/>
      <c r="T24" s="1781"/>
      <c r="U24" s="1990"/>
      <c r="V24" s="1781"/>
      <c r="W24" s="1990"/>
      <c r="X24" s="1781"/>
      <c r="Y24" s="1990"/>
      <c r="Z24" s="1781"/>
      <c r="AA24" s="1991"/>
      <c r="AB24" s="1992"/>
      <c r="AC24" s="1993"/>
      <c r="AD24" s="1781">
        <v>0</v>
      </c>
      <c r="AE24" s="1992"/>
      <c r="AF24" s="1994"/>
      <c r="AG24" s="1781">
        <v>0</v>
      </c>
      <c r="AH24" s="275"/>
      <c r="AI24" s="56"/>
      <c r="AJ24" s="937">
        <f t="shared" si="1"/>
        <v>0</v>
      </c>
      <c r="AK24" s="937"/>
      <c r="AL24" s="1431">
        <f>ROUND(IF(AG24=0,0,AJ24/ABS(AG24)),3)</f>
        <v>0</v>
      </c>
    </row>
    <row r="25" spans="1:39" ht="15" customHeight="1">
      <c r="A25" s="150"/>
      <c r="B25" s="886" t="s">
        <v>1058</v>
      </c>
      <c r="C25" s="31"/>
      <c r="D25" s="678" t="s">
        <v>14</v>
      </c>
      <c r="E25" s="809"/>
      <c r="F25" s="678"/>
      <c r="G25" s="809"/>
      <c r="H25" s="678"/>
      <c r="I25" s="809"/>
      <c r="J25" s="678"/>
      <c r="K25" s="140"/>
      <c r="L25" s="678"/>
      <c r="M25" s="140"/>
      <c r="N25" s="678"/>
      <c r="O25" s="140"/>
      <c r="P25" s="1781"/>
      <c r="Q25" s="1983"/>
      <c r="R25" s="1781"/>
      <c r="S25" s="1983"/>
      <c r="T25" s="1781"/>
      <c r="U25" s="1983"/>
      <c r="V25" s="1781"/>
      <c r="W25" s="1987"/>
      <c r="X25" s="1781"/>
      <c r="Y25" s="1987"/>
      <c r="Z25" s="1781"/>
      <c r="AA25" s="1986"/>
      <c r="AB25" s="1983"/>
      <c r="AC25" s="1988"/>
      <c r="AD25" s="1987"/>
      <c r="AE25" s="1987"/>
      <c r="AF25" s="1989"/>
      <c r="AG25" s="1987"/>
      <c r="AH25" s="275"/>
      <c r="AI25" s="56"/>
      <c r="AJ25" s="937"/>
      <c r="AK25" s="937"/>
      <c r="AL25" s="1431"/>
    </row>
    <row r="26" spans="1:39" ht="15" customHeight="1">
      <c r="A26" s="150"/>
      <c r="B26" s="886" t="s">
        <v>972</v>
      </c>
      <c r="C26" s="31"/>
      <c r="D26" s="678">
        <f t="shared" ref="D26:D32" si="2">$AD26</f>
        <v>0</v>
      </c>
      <c r="E26" s="809"/>
      <c r="F26" s="678"/>
      <c r="G26" s="809"/>
      <c r="H26" s="678"/>
      <c r="I26" s="809"/>
      <c r="J26" s="678"/>
      <c r="K26" s="1529"/>
      <c r="L26" s="678"/>
      <c r="M26" s="1529"/>
      <c r="N26" s="678"/>
      <c r="O26" s="1529"/>
      <c r="P26" s="1781"/>
      <c r="Q26" s="1990"/>
      <c r="R26" s="1781"/>
      <c r="S26" s="1990"/>
      <c r="T26" s="1781"/>
      <c r="U26" s="1990"/>
      <c r="V26" s="1781"/>
      <c r="W26" s="1990"/>
      <c r="X26" s="1781"/>
      <c r="Y26" s="1990"/>
      <c r="Z26" s="1781"/>
      <c r="AA26" s="1991"/>
      <c r="AB26" s="1992"/>
      <c r="AC26" s="1993"/>
      <c r="AD26" s="1781">
        <v>0</v>
      </c>
      <c r="AE26" s="1992"/>
      <c r="AF26" s="1994"/>
      <c r="AG26" s="1781">
        <v>0</v>
      </c>
      <c r="AH26" s="275"/>
      <c r="AI26" s="56"/>
      <c r="AJ26" s="937">
        <f t="shared" si="1"/>
        <v>0</v>
      </c>
      <c r="AK26" s="937"/>
      <c r="AL26" s="1431">
        <f t="shared" ref="AL26:AL31" si="3">ROUND(IF(AG26=0,0,AJ26/ABS(AG26)),3)</f>
        <v>0</v>
      </c>
    </row>
    <row r="27" spans="1:39" ht="15" customHeight="1">
      <c r="A27" s="150"/>
      <c r="B27" s="886" t="s">
        <v>973</v>
      </c>
      <c r="C27" s="31"/>
      <c r="D27" s="678">
        <f t="shared" si="2"/>
        <v>0</v>
      </c>
      <c r="E27" s="809"/>
      <c r="F27" s="678"/>
      <c r="G27" s="809"/>
      <c r="H27" s="678"/>
      <c r="I27" s="809"/>
      <c r="J27" s="678"/>
      <c r="K27" s="1529"/>
      <c r="L27" s="678"/>
      <c r="M27" s="1529"/>
      <c r="N27" s="678"/>
      <c r="O27" s="1529"/>
      <c r="P27" s="1781"/>
      <c r="Q27" s="1990"/>
      <c r="R27" s="1781"/>
      <c r="S27" s="1990"/>
      <c r="T27" s="1781"/>
      <c r="U27" s="1990"/>
      <c r="V27" s="1781"/>
      <c r="W27" s="1990"/>
      <c r="X27" s="1781"/>
      <c r="Y27" s="1990"/>
      <c r="Z27" s="1781"/>
      <c r="AA27" s="1991"/>
      <c r="AB27" s="1992"/>
      <c r="AC27" s="1993"/>
      <c r="AD27" s="1781">
        <v>0</v>
      </c>
      <c r="AE27" s="1992"/>
      <c r="AF27" s="1994"/>
      <c r="AG27" s="1781">
        <v>0</v>
      </c>
      <c r="AH27" s="275"/>
      <c r="AI27" s="56"/>
      <c r="AJ27" s="937">
        <f t="shared" si="1"/>
        <v>0</v>
      </c>
      <c r="AK27" s="937"/>
      <c r="AL27" s="1431">
        <f t="shared" si="3"/>
        <v>0</v>
      </c>
    </row>
    <row r="28" spans="1:39" ht="15" customHeight="1">
      <c r="A28" s="150"/>
      <c r="B28" s="886" t="s">
        <v>974</v>
      </c>
      <c r="C28" s="31"/>
      <c r="D28" s="678">
        <f t="shared" si="2"/>
        <v>0</v>
      </c>
      <c r="E28" s="809"/>
      <c r="F28" s="678"/>
      <c r="G28" s="809"/>
      <c r="H28" s="678"/>
      <c r="I28" s="809"/>
      <c r="J28" s="678"/>
      <c r="K28" s="1529"/>
      <c r="L28" s="678"/>
      <c r="M28" s="1529"/>
      <c r="N28" s="678"/>
      <c r="O28" s="1529"/>
      <c r="P28" s="1781"/>
      <c r="Q28" s="1990"/>
      <c r="R28" s="1781"/>
      <c r="S28" s="1990"/>
      <c r="T28" s="1781"/>
      <c r="U28" s="1990"/>
      <c r="V28" s="1781"/>
      <c r="W28" s="1990"/>
      <c r="X28" s="1781"/>
      <c r="Y28" s="1990"/>
      <c r="Z28" s="1781"/>
      <c r="AA28" s="1991"/>
      <c r="AB28" s="1992"/>
      <c r="AC28" s="1993"/>
      <c r="AD28" s="1781">
        <v>0</v>
      </c>
      <c r="AE28" s="1992"/>
      <c r="AF28" s="1994"/>
      <c r="AG28" s="1781">
        <v>0</v>
      </c>
      <c r="AH28" s="275"/>
      <c r="AI28" s="56"/>
      <c r="AJ28" s="937">
        <f t="shared" si="1"/>
        <v>0</v>
      </c>
      <c r="AK28" s="937"/>
      <c r="AL28" s="1431">
        <f t="shared" si="3"/>
        <v>0</v>
      </c>
    </row>
    <row r="29" spans="1:39" ht="15" customHeight="1">
      <c r="A29" s="150"/>
      <c r="B29" s="886" t="s">
        <v>975</v>
      </c>
      <c r="C29" s="31"/>
      <c r="D29" s="678">
        <f t="shared" si="2"/>
        <v>0</v>
      </c>
      <c r="E29" s="809"/>
      <c r="F29" s="678"/>
      <c r="G29" s="809"/>
      <c r="H29" s="678"/>
      <c r="I29" s="809"/>
      <c r="J29" s="678"/>
      <c r="K29" s="1529"/>
      <c r="L29" s="678"/>
      <c r="M29" s="1529"/>
      <c r="N29" s="678"/>
      <c r="O29" s="1529"/>
      <c r="P29" s="1781"/>
      <c r="Q29" s="1990"/>
      <c r="R29" s="1781"/>
      <c r="S29" s="1990"/>
      <c r="T29" s="1781"/>
      <c r="U29" s="1990"/>
      <c r="V29" s="1781"/>
      <c r="W29" s="1990"/>
      <c r="X29" s="1781"/>
      <c r="Y29" s="1990"/>
      <c r="Z29" s="1781"/>
      <c r="AA29" s="1991"/>
      <c r="AB29" s="1992"/>
      <c r="AC29" s="1993"/>
      <c r="AD29" s="1781">
        <v>0</v>
      </c>
      <c r="AE29" s="1992"/>
      <c r="AF29" s="1994"/>
      <c r="AG29" s="1781">
        <v>0</v>
      </c>
      <c r="AH29" s="275"/>
      <c r="AI29" s="56"/>
      <c r="AJ29" s="937">
        <f t="shared" si="1"/>
        <v>0</v>
      </c>
      <c r="AK29" s="937"/>
      <c r="AL29" s="1431">
        <f t="shared" si="3"/>
        <v>0</v>
      </c>
    </row>
    <row r="30" spans="1:39" ht="15" customHeight="1">
      <c r="A30" s="150"/>
      <c r="B30" s="886" t="s">
        <v>976</v>
      </c>
      <c r="C30" s="31"/>
      <c r="D30" s="678">
        <f t="shared" si="2"/>
        <v>0</v>
      </c>
      <c r="E30" s="809"/>
      <c r="F30" s="678"/>
      <c r="G30" s="809"/>
      <c r="H30" s="678"/>
      <c r="I30" s="809"/>
      <c r="J30" s="678"/>
      <c r="K30" s="1529"/>
      <c r="L30" s="678"/>
      <c r="M30" s="1529"/>
      <c r="N30" s="678"/>
      <c r="O30" s="1529"/>
      <c r="P30" s="1781"/>
      <c r="Q30" s="1990"/>
      <c r="R30" s="1781"/>
      <c r="S30" s="1990"/>
      <c r="T30" s="1781"/>
      <c r="U30" s="1990"/>
      <c r="V30" s="1781"/>
      <c r="W30" s="1990"/>
      <c r="X30" s="1781"/>
      <c r="Y30" s="1990"/>
      <c r="Z30" s="1781"/>
      <c r="AA30" s="1991"/>
      <c r="AB30" s="1992"/>
      <c r="AC30" s="1993"/>
      <c r="AD30" s="1781">
        <v>0</v>
      </c>
      <c r="AE30" s="1992"/>
      <c r="AF30" s="1994"/>
      <c r="AG30" s="1781">
        <v>0</v>
      </c>
      <c r="AH30" s="275"/>
      <c r="AI30" s="56"/>
      <c r="AJ30" s="937">
        <f t="shared" si="1"/>
        <v>0</v>
      </c>
      <c r="AK30" s="937"/>
      <c r="AL30" s="1431">
        <f t="shared" si="3"/>
        <v>0</v>
      </c>
    </row>
    <row r="31" spans="1:39" ht="15" customHeight="1">
      <c r="A31" s="150"/>
      <c r="B31" s="886" t="s">
        <v>934</v>
      </c>
      <c r="C31" s="31"/>
      <c r="D31" s="678">
        <f t="shared" si="2"/>
        <v>0.4</v>
      </c>
      <c r="E31" s="809"/>
      <c r="F31" s="678"/>
      <c r="G31" s="809"/>
      <c r="H31" s="678"/>
      <c r="I31" s="809"/>
      <c r="J31" s="678"/>
      <c r="K31" s="1529"/>
      <c r="L31" s="678"/>
      <c r="M31" s="1529"/>
      <c r="N31" s="678"/>
      <c r="O31" s="1529"/>
      <c r="P31" s="1781"/>
      <c r="Q31" s="1990"/>
      <c r="R31" s="1781"/>
      <c r="S31" s="1990"/>
      <c r="T31" s="1781"/>
      <c r="U31" s="1990"/>
      <c r="V31" s="1781"/>
      <c r="W31" s="1990"/>
      <c r="X31" s="1781"/>
      <c r="Y31" s="1990"/>
      <c r="Z31" s="1781"/>
      <c r="AA31" s="1991"/>
      <c r="AB31" s="1992"/>
      <c r="AC31" s="1993"/>
      <c r="AD31" s="1781">
        <v>0.4</v>
      </c>
      <c r="AE31" s="1992"/>
      <c r="AF31" s="1994"/>
      <c r="AG31" s="1781">
        <v>0.3</v>
      </c>
      <c r="AH31" s="275"/>
      <c r="AI31" s="56"/>
      <c r="AJ31" s="937">
        <f>ROUND(SUM(+AD31-AG31),1)</f>
        <v>0.1</v>
      </c>
      <c r="AK31" s="937"/>
      <c r="AL31" s="1431">
        <f t="shared" si="3"/>
        <v>0.33300000000000002</v>
      </c>
    </row>
    <row r="32" spans="1:39" s="881" customFormat="1" ht="15" customHeight="1">
      <c r="A32" s="1064"/>
      <c r="B32" s="886" t="s">
        <v>935</v>
      </c>
      <c r="C32" s="107"/>
      <c r="D32" s="678">
        <f t="shared" si="2"/>
        <v>0.6</v>
      </c>
      <c r="E32" s="809"/>
      <c r="F32" s="678"/>
      <c r="G32" s="809"/>
      <c r="H32" s="678"/>
      <c r="I32" s="809"/>
      <c r="J32" s="678"/>
      <c r="K32" s="1529"/>
      <c r="L32" s="678"/>
      <c r="M32" s="1529"/>
      <c r="N32" s="678"/>
      <c r="O32" s="1529"/>
      <c r="P32" s="1781"/>
      <c r="Q32" s="1990"/>
      <c r="R32" s="1781"/>
      <c r="S32" s="1990"/>
      <c r="T32" s="1781"/>
      <c r="U32" s="1990"/>
      <c r="V32" s="1781"/>
      <c r="W32" s="1990"/>
      <c r="X32" s="1781"/>
      <c r="Y32" s="1990"/>
      <c r="Z32" s="1781"/>
      <c r="AA32" s="1991"/>
      <c r="AB32" s="1992"/>
      <c r="AC32" s="1993"/>
      <c r="AD32" s="1781">
        <v>0.6</v>
      </c>
      <c r="AE32" s="1992"/>
      <c r="AF32" s="1994"/>
      <c r="AG32" s="1781">
        <v>3</v>
      </c>
      <c r="AH32" s="1067"/>
      <c r="AI32" s="67"/>
      <c r="AJ32" s="1018">
        <f t="shared" si="1"/>
        <v>-2.4</v>
      </c>
      <c r="AK32" s="1018"/>
      <c r="AL32" s="1716">
        <f>ROUND(IF(AG32=0,1,AJ32/ABS(AG32)),3)</f>
        <v>-0.8</v>
      </c>
    </row>
    <row r="33" spans="1:38" s="881" customFormat="1" ht="15" customHeight="1">
      <c r="A33" s="1064"/>
      <c r="B33" s="886" t="s">
        <v>953</v>
      </c>
      <c r="C33" s="107"/>
      <c r="D33" s="678">
        <f>$AD33</f>
        <v>0</v>
      </c>
      <c r="E33" s="809"/>
      <c r="F33" s="678"/>
      <c r="G33" s="809"/>
      <c r="H33" s="678"/>
      <c r="I33" s="809"/>
      <c r="J33" s="678"/>
      <c r="K33" s="1529"/>
      <c r="L33" s="678"/>
      <c r="M33" s="1529"/>
      <c r="N33" s="678"/>
      <c r="O33" s="1529"/>
      <c r="P33" s="1781"/>
      <c r="Q33" s="1990"/>
      <c r="R33" s="1781"/>
      <c r="S33" s="1990"/>
      <c r="T33" s="1781"/>
      <c r="U33" s="1990"/>
      <c r="V33" s="1781"/>
      <c r="W33" s="1990"/>
      <c r="X33" s="1781"/>
      <c r="Y33" s="1990"/>
      <c r="Z33" s="1781"/>
      <c r="AA33" s="1991"/>
      <c r="AB33" s="1992"/>
      <c r="AC33" s="1993"/>
      <c r="AD33" s="1781">
        <v>0</v>
      </c>
      <c r="AE33" s="1992"/>
      <c r="AF33" s="1994"/>
      <c r="AG33" s="1781">
        <v>0</v>
      </c>
      <c r="AH33" s="1067"/>
      <c r="AI33" s="67"/>
      <c r="AJ33" s="1018">
        <f>ROUND(SUM(+AD33-AG33),1)</f>
        <v>0</v>
      </c>
      <c r="AK33" s="1018"/>
      <c r="AL33" s="1716">
        <f>ROUND(IF(AG33=0,0,AJ33/ABS(AG33)),3)</f>
        <v>0</v>
      </c>
    </row>
    <row r="34" spans="1:38" s="881" customFormat="1" ht="15" customHeight="1">
      <c r="A34" s="1064"/>
      <c r="B34" s="886" t="s">
        <v>1056</v>
      </c>
      <c r="C34" s="107"/>
      <c r="D34" s="678" t="s">
        <v>14</v>
      </c>
      <c r="E34" s="809"/>
      <c r="F34" s="678"/>
      <c r="G34" s="809"/>
      <c r="H34" s="678"/>
      <c r="I34" s="809"/>
      <c r="J34" s="678"/>
      <c r="K34" s="140"/>
      <c r="L34" s="678"/>
      <c r="M34" s="140"/>
      <c r="N34" s="678"/>
      <c r="O34" s="140"/>
      <c r="P34" s="1781"/>
      <c r="Q34" s="1983"/>
      <c r="R34" s="1781"/>
      <c r="S34" s="1983"/>
      <c r="T34" s="1781"/>
      <c r="U34" s="1983"/>
      <c r="V34" s="1781"/>
      <c r="W34" s="1987"/>
      <c r="X34" s="1781"/>
      <c r="Y34" s="1987"/>
      <c r="Z34" s="1781"/>
      <c r="AA34" s="1986"/>
      <c r="AB34" s="1983"/>
      <c r="AC34" s="1988"/>
      <c r="AD34" s="1987"/>
      <c r="AE34" s="1987"/>
      <c r="AF34" s="1989"/>
      <c r="AG34" s="1987"/>
      <c r="AH34" s="1067"/>
      <c r="AI34" s="67"/>
      <c r="AJ34" s="1018"/>
      <c r="AK34" s="1018"/>
      <c r="AL34" s="1441"/>
    </row>
    <row r="35" spans="1:38" s="881" customFormat="1" ht="15" customHeight="1">
      <c r="A35" s="1064"/>
      <c r="B35" s="886" t="s">
        <v>980</v>
      </c>
      <c r="C35" s="107"/>
      <c r="D35" s="678">
        <f t="shared" ref="D35:D51" si="4">$AD35</f>
        <v>0</v>
      </c>
      <c r="E35" s="809"/>
      <c r="F35" s="678"/>
      <c r="G35" s="809"/>
      <c r="H35" s="678"/>
      <c r="I35" s="809"/>
      <c r="J35" s="678"/>
      <c r="K35" s="1529"/>
      <c r="L35" s="678"/>
      <c r="M35" s="1529"/>
      <c r="N35" s="678"/>
      <c r="O35" s="1529"/>
      <c r="P35" s="1781"/>
      <c r="Q35" s="1990"/>
      <c r="R35" s="1781"/>
      <c r="S35" s="1990"/>
      <c r="T35" s="1781"/>
      <c r="U35" s="1990"/>
      <c r="V35" s="1781"/>
      <c r="W35" s="1990"/>
      <c r="X35" s="1781"/>
      <c r="Y35" s="1990"/>
      <c r="Z35" s="1781"/>
      <c r="AA35" s="1991"/>
      <c r="AB35" s="1992"/>
      <c r="AC35" s="1993"/>
      <c r="AD35" s="1781">
        <v>0</v>
      </c>
      <c r="AE35" s="1992"/>
      <c r="AF35" s="1994"/>
      <c r="AG35" s="1781">
        <v>0</v>
      </c>
      <c r="AH35" s="1067"/>
      <c r="AI35" s="67"/>
      <c r="AJ35" s="1018">
        <f t="shared" si="1"/>
        <v>0</v>
      </c>
      <c r="AK35" s="1018"/>
      <c r="AL35" s="1716">
        <f t="shared" ref="AL35:AL39" si="5">ROUND(IF(AG35=0,0,AJ35/ABS(AG35)),3)</f>
        <v>0</v>
      </c>
    </row>
    <row r="36" spans="1:38" s="881" customFormat="1" ht="15" customHeight="1">
      <c r="A36" s="1064"/>
      <c r="B36" s="886" t="s">
        <v>981</v>
      </c>
      <c r="C36" s="107"/>
      <c r="D36" s="678">
        <f t="shared" si="4"/>
        <v>0</v>
      </c>
      <c r="E36" s="809"/>
      <c r="F36" s="678"/>
      <c r="G36" s="809"/>
      <c r="H36" s="678"/>
      <c r="I36" s="809"/>
      <c r="J36" s="678"/>
      <c r="K36" s="1529"/>
      <c r="L36" s="678"/>
      <c r="M36" s="1529"/>
      <c r="N36" s="678"/>
      <c r="O36" s="1529"/>
      <c r="P36" s="1781"/>
      <c r="Q36" s="1990"/>
      <c r="R36" s="1781"/>
      <c r="S36" s="1990"/>
      <c r="T36" s="1781"/>
      <c r="U36" s="1990"/>
      <c r="V36" s="1781"/>
      <c r="W36" s="1990"/>
      <c r="X36" s="1781"/>
      <c r="Y36" s="1990"/>
      <c r="Z36" s="1781"/>
      <c r="AA36" s="1991"/>
      <c r="AB36" s="1992"/>
      <c r="AC36" s="1993"/>
      <c r="AD36" s="1781">
        <v>0</v>
      </c>
      <c r="AE36" s="1992"/>
      <c r="AF36" s="1994"/>
      <c r="AG36" s="1781">
        <v>0</v>
      </c>
      <c r="AH36" s="1067"/>
      <c r="AI36" s="67"/>
      <c r="AJ36" s="1018">
        <f t="shared" si="1"/>
        <v>0</v>
      </c>
      <c r="AK36" s="1018"/>
      <c r="AL36" s="1716">
        <f t="shared" si="5"/>
        <v>0</v>
      </c>
    </row>
    <row r="37" spans="1:38" s="881" customFormat="1" ht="15" customHeight="1">
      <c r="A37" s="1064"/>
      <c r="B37" s="886" t="s">
        <v>982</v>
      </c>
      <c r="C37" s="107"/>
      <c r="D37" s="678">
        <f t="shared" si="4"/>
        <v>0</v>
      </c>
      <c r="E37" s="809"/>
      <c r="F37" s="678"/>
      <c r="G37" s="809"/>
      <c r="H37" s="678"/>
      <c r="I37" s="809"/>
      <c r="J37" s="678"/>
      <c r="K37" s="1529"/>
      <c r="L37" s="678"/>
      <c r="M37" s="1529"/>
      <c r="N37" s="678"/>
      <c r="O37" s="1529"/>
      <c r="P37" s="1781"/>
      <c r="Q37" s="1990"/>
      <c r="R37" s="1781"/>
      <c r="S37" s="1990"/>
      <c r="T37" s="1781"/>
      <c r="U37" s="1990"/>
      <c r="V37" s="1781"/>
      <c r="W37" s="1990"/>
      <c r="X37" s="1781"/>
      <c r="Y37" s="1990"/>
      <c r="Z37" s="1781"/>
      <c r="AA37" s="1991"/>
      <c r="AB37" s="1992"/>
      <c r="AC37" s="1993"/>
      <c r="AD37" s="1781">
        <v>0</v>
      </c>
      <c r="AE37" s="1992"/>
      <c r="AF37" s="1994"/>
      <c r="AG37" s="1781">
        <v>0</v>
      </c>
      <c r="AH37" s="1067"/>
      <c r="AI37" s="67"/>
      <c r="AJ37" s="1018">
        <f t="shared" si="1"/>
        <v>0</v>
      </c>
      <c r="AK37" s="1018"/>
      <c r="AL37" s="1716">
        <f t="shared" si="5"/>
        <v>0</v>
      </c>
    </row>
    <row r="38" spans="1:38" s="881" customFormat="1" ht="15" customHeight="1">
      <c r="A38" s="1064"/>
      <c r="B38" s="886" t="s">
        <v>983</v>
      </c>
      <c r="C38" s="107"/>
      <c r="D38" s="678">
        <f t="shared" si="4"/>
        <v>0</v>
      </c>
      <c r="E38" s="809"/>
      <c r="F38" s="678"/>
      <c r="G38" s="809"/>
      <c r="H38" s="678"/>
      <c r="I38" s="809"/>
      <c r="J38" s="678"/>
      <c r="K38" s="1529"/>
      <c r="L38" s="678"/>
      <c r="M38" s="1529"/>
      <c r="N38" s="678"/>
      <c r="O38" s="1529"/>
      <c r="P38" s="1781"/>
      <c r="Q38" s="1990"/>
      <c r="R38" s="1781"/>
      <c r="S38" s="1990"/>
      <c r="T38" s="1781"/>
      <c r="U38" s="1990"/>
      <c r="V38" s="1781"/>
      <c r="W38" s="1990"/>
      <c r="X38" s="1781"/>
      <c r="Y38" s="1990"/>
      <c r="Z38" s="1781"/>
      <c r="AA38" s="1991"/>
      <c r="AB38" s="1992"/>
      <c r="AC38" s="1993"/>
      <c r="AD38" s="1781">
        <v>0</v>
      </c>
      <c r="AE38" s="1992"/>
      <c r="AF38" s="1994"/>
      <c r="AG38" s="1781">
        <v>0</v>
      </c>
      <c r="AH38" s="1067"/>
      <c r="AI38" s="67"/>
      <c r="AJ38" s="1018">
        <f t="shared" si="1"/>
        <v>0</v>
      </c>
      <c r="AK38" s="1018"/>
      <c r="AL38" s="1716">
        <f t="shared" si="5"/>
        <v>0</v>
      </c>
    </row>
    <row r="39" spans="1:38" s="881" customFormat="1" ht="15" customHeight="1">
      <c r="A39" s="1064"/>
      <c r="B39" s="886" t="s">
        <v>954</v>
      </c>
      <c r="C39" s="107"/>
      <c r="D39" s="678">
        <f t="shared" si="4"/>
        <v>0</v>
      </c>
      <c r="E39" s="809"/>
      <c r="F39" s="678"/>
      <c r="G39" s="809"/>
      <c r="H39" s="678"/>
      <c r="I39" s="809"/>
      <c r="J39" s="678"/>
      <c r="K39" s="1529"/>
      <c r="L39" s="678"/>
      <c r="M39" s="1529"/>
      <c r="N39" s="678"/>
      <c r="O39" s="1529"/>
      <c r="P39" s="1781"/>
      <c r="Q39" s="1990"/>
      <c r="R39" s="1781"/>
      <c r="S39" s="1990"/>
      <c r="T39" s="1781"/>
      <c r="U39" s="1990"/>
      <c r="V39" s="1781"/>
      <c r="W39" s="1990"/>
      <c r="X39" s="1781"/>
      <c r="Y39" s="1990"/>
      <c r="Z39" s="1781"/>
      <c r="AA39" s="1991"/>
      <c r="AB39" s="1992"/>
      <c r="AC39" s="1993"/>
      <c r="AD39" s="1781">
        <v>0</v>
      </c>
      <c r="AE39" s="1992"/>
      <c r="AF39" s="1994"/>
      <c r="AG39" s="1781">
        <v>0</v>
      </c>
      <c r="AH39" s="1067"/>
      <c r="AI39" s="67"/>
      <c r="AJ39" s="1018">
        <f t="shared" si="1"/>
        <v>0</v>
      </c>
      <c r="AK39" s="1018"/>
      <c r="AL39" s="1716">
        <f t="shared" si="5"/>
        <v>0</v>
      </c>
    </row>
    <row r="40" spans="1:38" s="881" customFormat="1" ht="15" customHeight="1">
      <c r="A40" s="1064"/>
      <c r="B40" s="886" t="s">
        <v>1057</v>
      </c>
      <c r="C40" s="107"/>
      <c r="D40" s="678" t="s">
        <v>14</v>
      </c>
      <c r="E40" s="809"/>
      <c r="F40" s="678"/>
      <c r="G40" s="809"/>
      <c r="H40" s="678"/>
      <c r="I40" s="809"/>
      <c r="J40" s="678"/>
      <c r="K40" s="140"/>
      <c r="L40" s="678"/>
      <c r="M40" s="140"/>
      <c r="N40" s="678"/>
      <c r="O40" s="140"/>
      <c r="P40" s="1781"/>
      <c r="Q40" s="1983"/>
      <c r="R40" s="1781"/>
      <c r="S40" s="1983"/>
      <c r="T40" s="1781"/>
      <c r="U40" s="1983"/>
      <c r="V40" s="1781"/>
      <c r="W40" s="1987"/>
      <c r="X40" s="1781"/>
      <c r="Y40" s="1987"/>
      <c r="Z40" s="1781"/>
      <c r="AA40" s="1986"/>
      <c r="AB40" s="1983"/>
      <c r="AC40" s="1988"/>
      <c r="AD40" s="1987"/>
      <c r="AE40" s="1987"/>
      <c r="AF40" s="1989"/>
      <c r="AG40" s="1987"/>
      <c r="AH40" s="1067"/>
      <c r="AI40" s="67"/>
      <c r="AJ40" s="1018"/>
      <c r="AK40" s="1018"/>
      <c r="AL40" s="1441"/>
    </row>
    <row r="41" spans="1:38" s="881" customFormat="1" ht="15" customHeight="1">
      <c r="A41" s="1064"/>
      <c r="B41" s="886" t="s">
        <v>984</v>
      </c>
      <c r="C41" s="107"/>
      <c r="D41" s="678">
        <f t="shared" si="4"/>
        <v>0</v>
      </c>
      <c r="E41" s="809"/>
      <c r="F41" s="678"/>
      <c r="G41" s="809"/>
      <c r="H41" s="678"/>
      <c r="I41" s="809"/>
      <c r="J41" s="678"/>
      <c r="K41" s="1529"/>
      <c r="L41" s="678"/>
      <c r="M41" s="1529"/>
      <c r="N41" s="678"/>
      <c r="O41" s="1529"/>
      <c r="P41" s="1781"/>
      <c r="Q41" s="1990"/>
      <c r="R41" s="1781"/>
      <c r="S41" s="1990"/>
      <c r="T41" s="1781"/>
      <c r="U41" s="1990"/>
      <c r="V41" s="1781"/>
      <c r="W41" s="1990"/>
      <c r="X41" s="1781"/>
      <c r="Y41" s="1990"/>
      <c r="Z41" s="1781"/>
      <c r="AA41" s="1991"/>
      <c r="AB41" s="1992"/>
      <c r="AC41" s="1993"/>
      <c r="AD41" s="1781">
        <v>0</v>
      </c>
      <c r="AE41" s="1992"/>
      <c r="AF41" s="1994"/>
      <c r="AG41" s="1781">
        <v>0</v>
      </c>
      <c r="AH41" s="1067"/>
      <c r="AI41" s="67"/>
      <c r="AJ41" s="1018">
        <f t="shared" si="1"/>
        <v>0</v>
      </c>
      <c r="AK41" s="1018"/>
      <c r="AL41" s="1716">
        <f t="shared" ref="AL41:AL48" si="6">ROUND(IF(AG41=0,0,AJ41/ABS(AG41)),3)</f>
        <v>0</v>
      </c>
    </row>
    <row r="42" spans="1:38" s="881" customFormat="1" ht="15" customHeight="1">
      <c r="A42" s="1064"/>
      <c r="B42" s="886" t="s">
        <v>985</v>
      </c>
      <c r="C42" s="107"/>
      <c r="D42" s="678">
        <f t="shared" si="4"/>
        <v>0</v>
      </c>
      <c r="E42" s="809"/>
      <c r="F42" s="678"/>
      <c r="G42" s="809"/>
      <c r="H42" s="678"/>
      <c r="I42" s="809"/>
      <c r="J42" s="678"/>
      <c r="K42" s="1529"/>
      <c r="L42" s="678"/>
      <c r="M42" s="1529"/>
      <c r="N42" s="678"/>
      <c r="O42" s="1529"/>
      <c r="P42" s="1781"/>
      <c r="Q42" s="1990"/>
      <c r="R42" s="1781"/>
      <c r="S42" s="1990"/>
      <c r="T42" s="1781"/>
      <c r="U42" s="1990"/>
      <c r="V42" s="1781"/>
      <c r="W42" s="1990"/>
      <c r="X42" s="1781"/>
      <c r="Y42" s="1990"/>
      <c r="Z42" s="1781"/>
      <c r="AA42" s="1991"/>
      <c r="AB42" s="1992"/>
      <c r="AC42" s="1993"/>
      <c r="AD42" s="1781">
        <v>0</v>
      </c>
      <c r="AE42" s="1992"/>
      <c r="AF42" s="1994"/>
      <c r="AG42" s="1781">
        <v>0</v>
      </c>
      <c r="AH42" s="1067"/>
      <c r="AI42" s="67"/>
      <c r="AJ42" s="1018">
        <f t="shared" si="1"/>
        <v>0</v>
      </c>
      <c r="AK42" s="1018"/>
      <c r="AL42" s="1716">
        <f t="shared" si="6"/>
        <v>0</v>
      </c>
    </row>
    <row r="43" spans="1:38" s="881" customFormat="1" ht="15" customHeight="1">
      <c r="A43" s="1064"/>
      <c r="B43" s="886" t="s">
        <v>986</v>
      </c>
      <c r="C43" s="107"/>
      <c r="D43" s="678">
        <f t="shared" si="4"/>
        <v>0</v>
      </c>
      <c r="E43" s="809"/>
      <c r="F43" s="678"/>
      <c r="G43" s="809"/>
      <c r="H43" s="678"/>
      <c r="I43" s="809"/>
      <c r="J43" s="678"/>
      <c r="K43" s="1529"/>
      <c r="L43" s="678"/>
      <c r="M43" s="1529"/>
      <c r="N43" s="678"/>
      <c r="O43" s="1529"/>
      <c r="P43" s="1781"/>
      <c r="Q43" s="1990"/>
      <c r="R43" s="1781"/>
      <c r="S43" s="1990"/>
      <c r="T43" s="1781"/>
      <c r="U43" s="1990"/>
      <c r="V43" s="1781"/>
      <c r="W43" s="1990"/>
      <c r="X43" s="1781"/>
      <c r="Y43" s="1990"/>
      <c r="Z43" s="1781"/>
      <c r="AA43" s="1991"/>
      <c r="AB43" s="1992"/>
      <c r="AC43" s="1993"/>
      <c r="AD43" s="1781">
        <v>0</v>
      </c>
      <c r="AE43" s="1992"/>
      <c r="AF43" s="1994"/>
      <c r="AG43" s="1781">
        <v>0</v>
      </c>
      <c r="AH43" s="1067"/>
      <c r="AI43" s="67"/>
      <c r="AJ43" s="1018">
        <f t="shared" si="1"/>
        <v>0</v>
      </c>
      <c r="AK43" s="1018"/>
      <c r="AL43" s="1716">
        <f t="shared" si="6"/>
        <v>0</v>
      </c>
    </row>
    <row r="44" spans="1:38" s="881" customFormat="1" ht="15" customHeight="1">
      <c r="A44" s="1064"/>
      <c r="B44" s="886" t="s">
        <v>987</v>
      </c>
      <c r="C44" s="107"/>
      <c r="D44" s="678">
        <f t="shared" si="4"/>
        <v>0</v>
      </c>
      <c r="E44" s="809"/>
      <c r="F44" s="678"/>
      <c r="G44" s="809"/>
      <c r="H44" s="678"/>
      <c r="I44" s="809"/>
      <c r="J44" s="678"/>
      <c r="K44" s="1529"/>
      <c r="L44" s="678"/>
      <c r="M44" s="1529"/>
      <c r="N44" s="678"/>
      <c r="O44" s="1529"/>
      <c r="P44" s="1781"/>
      <c r="Q44" s="1990"/>
      <c r="R44" s="1781"/>
      <c r="S44" s="1990"/>
      <c r="T44" s="1781"/>
      <c r="U44" s="1990"/>
      <c r="V44" s="1781"/>
      <c r="W44" s="1990"/>
      <c r="X44" s="1781"/>
      <c r="Y44" s="1990"/>
      <c r="Z44" s="1781"/>
      <c r="AA44" s="1991"/>
      <c r="AB44" s="1992"/>
      <c r="AC44" s="1993"/>
      <c r="AD44" s="1781">
        <v>0</v>
      </c>
      <c r="AE44" s="1992"/>
      <c r="AF44" s="1994"/>
      <c r="AG44" s="1781">
        <v>0</v>
      </c>
      <c r="AH44" s="1067"/>
      <c r="AI44" s="67"/>
      <c r="AJ44" s="1018">
        <f t="shared" si="1"/>
        <v>0</v>
      </c>
      <c r="AK44" s="1018"/>
      <c r="AL44" s="1716">
        <f t="shared" si="6"/>
        <v>0</v>
      </c>
    </row>
    <row r="45" spans="1:38" s="881" customFormat="1" ht="15" customHeight="1">
      <c r="A45" s="1064"/>
      <c r="B45" s="886" t="s">
        <v>988</v>
      </c>
      <c r="C45" s="107"/>
      <c r="D45" s="678">
        <f t="shared" si="4"/>
        <v>0</v>
      </c>
      <c r="E45" s="809"/>
      <c r="F45" s="678"/>
      <c r="G45" s="809"/>
      <c r="H45" s="678"/>
      <c r="I45" s="809"/>
      <c r="J45" s="678"/>
      <c r="K45" s="1529"/>
      <c r="L45" s="678"/>
      <c r="M45" s="1529"/>
      <c r="N45" s="678"/>
      <c r="O45" s="1529"/>
      <c r="P45" s="1781"/>
      <c r="Q45" s="1990"/>
      <c r="R45" s="1781"/>
      <c r="S45" s="1990"/>
      <c r="T45" s="1781"/>
      <c r="U45" s="1990"/>
      <c r="V45" s="1781"/>
      <c r="W45" s="1990"/>
      <c r="X45" s="1781"/>
      <c r="Y45" s="1990"/>
      <c r="Z45" s="1781"/>
      <c r="AA45" s="1991"/>
      <c r="AB45" s="1992"/>
      <c r="AC45" s="1993"/>
      <c r="AD45" s="1781">
        <v>0</v>
      </c>
      <c r="AE45" s="1992"/>
      <c r="AF45" s="1994"/>
      <c r="AG45" s="1781">
        <v>0</v>
      </c>
      <c r="AH45" s="1067"/>
      <c r="AI45" s="67"/>
      <c r="AJ45" s="1018">
        <f t="shared" si="1"/>
        <v>0</v>
      </c>
      <c r="AK45" s="1018"/>
      <c r="AL45" s="1716">
        <f t="shared" si="6"/>
        <v>0</v>
      </c>
    </row>
    <row r="46" spans="1:38" s="881" customFormat="1" ht="15" customHeight="1">
      <c r="A46" s="1064"/>
      <c r="B46" s="886" t="s">
        <v>989</v>
      </c>
      <c r="C46" s="107"/>
      <c r="D46" s="678">
        <f t="shared" si="4"/>
        <v>6.6</v>
      </c>
      <c r="E46" s="809"/>
      <c r="F46" s="678"/>
      <c r="G46" s="809"/>
      <c r="H46" s="678"/>
      <c r="I46" s="809"/>
      <c r="J46" s="678"/>
      <c r="K46" s="1529"/>
      <c r="L46" s="678"/>
      <c r="M46" s="1529"/>
      <c r="N46" s="678"/>
      <c r="O46" s="1529"/>
      <c r="P46" s="1781"/>
      <c r="Q46" s="1990"/>
      <c r="R46" s="1781"/>
      <c r="S46" s="1990"/>
      <c r="T46" s="1781"/>
      <c r="U46" s="1990"/>
      <c r="V46" s="1781"/>
      <c r="W46" s="1990"/>
      <c r="X46" s="1781"/>
      <c r="Y46" s="1990"/>
      <c r="Z46" s="1781"/>
      <c r="AA46" s="1991"/>
      <c r="AB46" s="1992"/>
      <c r="AC46" s="1993"/>
      <c r="AD46" s="1781">
        <v>6.6</v>
      </c>
      <c r="AE46" s="1992"/>
      <c r="AF46" s="1994"/>
      <c r="AG46" s="1781">
        <v>7.7</v>
      </c>
      <c r="AH46" s="1067"/>
      <c r="AI46" s="67"/>
      <c r="AJ46" s="1018">
        <f t="shared" si="1"/>
        <v>-1.1000000000000001</v>
      </c>
      <c r="AK46" s="1018"/>
      <c r="AL46" s="1716">
        <f t="shared" si="6"/>
        <v>-0.14299999999999999</v>
      </c>
    </row>
    <row r="47" spans="1:38" ht="15" customHeight="1">
      <c r="A47" s="150"/>
      <c r="B47" s="886" t="s">
        <v>990</v>
      </c>
      <c r="C47" s="31"/>
      <c r="D47" s="678">
        <f t="shared" si="4"/>
        <v>0</v>
      </c>
      <c r="E47" s="809"/>
      <c r="F47" s="678"/>
      <c r="G47" s="809"/>
      <c r="H47" s="678"/>
      <c r="I47" s="809"/>
      <c r="J47" s="678"/>
      <c r="K47" s="1529"/>
      <c r="L47" s="678"/>
      <c r="M47" s="1529"/>
      <c r="N47" s="678"/>
      <c r="O47" s="1529"/>
      <c r="P47" s="1781"/>
      <c r="Q47" s="1990"/>
      <c r="R47" s="1781"/>
      <c r="S47" s="1990"/>
      <c r="T47" s="1781"/>
      <c r="U47" s="1990"/>
      <c r="V47" s="1781"/>
      <c r="W47" s="1990"/>
      <c r="X47" s="1781"/>
      <c r="Y47" s="1990"/>
      <c r="Z47" s="1781"/>
      <c r="AA47" s="1991"/>
      <c r="AB47" s="1992"/>
      <c r="AC47" s="1993"/>
      <c r="AD47" s="1781">
        <v>0</v>
      </c>
      <c r="AE47" s="1992"/>
      <c r="AF47" s="1994"/>
      <c r="AG47" s="1781">
        <v>0</v>
      </c>
      <c r="AH47" s="275"/>
      <c r="AI47" s="56"/>
      <c r="AJ47" s="937">
        <f t="shared" si="1"/>
        <v>0</v>
      </c>
      <c r="AK47" s="937"/>
      <c r="AL47" s="1431">
        <f t="shared" si="6"/>
        <v>0</v>
      </c>
    </row>
    <row r="48" spans="1:38" ht="15" customHeight="1">
      <c r="A48" s="150"/>
      <c r="B48" s="886" t="s">
        <v>991</v>
      </c>
      <c r="C48" s="31"/>
      <c r="D48" s="678">
        <f t="shared" si="4"/>
        <v>0</v>
      </c>
      <c r="E48" s="809"/>
      <c r="F48" s="678"/>
      <c r="G48" s="809"/>
      <c r="H48" s="678"/>
      <c r="I48" s="809"/>
      <c r="J48" s="678"/>
      <c r="K48" s="1529"/>
      <c r="L48" s="678"/>
      <c r="M48" s="1529"/>
      <c r="N48" s="678"/>
      <c r="O48" s="1529"/>
      <c r="P48" s="1781"/>
      <c r="Q48" s="1990"/>
      <c r="R48" s="1781"/>
      <c r="S48" s="1990"/>
      <c r="T48" s="1781"/>
      <c r="U48" s="1990"/>
      <c r="V48" s="1781"/>
      <c r="W48" s="1990"/>
      <c r="X48" s="1781"/>
      <c r="Y48" s="1990"/>
      <c r="Z48" s="1781"/>
      <c r="AA48" s="1991"/>
      <c r="AB48" s="1992"/>
      <c r="AC48" s="1993"/>
      <c r="AD48" s="1781">
        <v>0</v>
      </c>
      <c r="AE48" s="1992"/>
      <c r="AF48" s="1994"/>
      <c r="AG48" s="1781">
        <v>0</v>
      </c>
      <c r="AH48" s="275"/>
      <c r="AI48" s="56"/>
      <c r="AJ48" s="937">
        <f t="shared" si="1"/>
        <v>0</v>
      </c>
      <c r="AK48" s="937"/>
      <c r="AL48" s="1431">
        <f t="shared" si="6"/>
        <v>0</v>
      </c>
    </row>
    <row r="49" spans="1:38" s="881" customFormat="1" ht="15" customHeight="1">
      <c r="A49" s="1064"/>
      <c r="B49" s="886" t="s">
        <v>992</v>
      </c>
      <c r="C49" s="107"/>
      <c r="D49" s="678">
        <f t="shared" si="4"/>
        <v>0.2</v>
      </c>
      <c r="E49" s="809"/>
      <c r="F49" s="678"/>
      <c r="G49" s="809"/>
      <c r="H49" s="678"/>
      <c r="I49" s="809"/>
      <c r="J49" s="678"/>
      <c r="K49" s="1529"/>
      <c r="L49" s="678"/>
      <c r="M49" s="1529"/>
      <c r="N49" s="678"/>
      <c r="O49" s="1529"/>
      <c r="P49" s="1781"/>
      <c r="Q49" s="1990"/>
      <c r="R49" s="1781"/>
      <c r="S49" s="1990"/>
      <c r="T49" s="1781"/>
      <c r="U49" s="1990"/>
      <c r="V49" s="1781"/>
      <c r="W49" s="1990"/>
      <c r="X49" s="1781"/>
      <c r="Y49" s="1990"/>
      <c r="Z49" s="1781"/>
      <c r="AA49" s="1991"/>
      <c r="AB49" s="1992"/>
      <c r="AC49" s="1993"/>
      <c r="AD49" s="1781">
        <v>0.2</v>
      </c>
      <c r="AE49" s="1992"/>
      <c r="AF49" s="1994"/>
      <c r="AG49" s="1781">
        <v>0.3</v>
      </c>
      <c r="AH49" s="1067"/>
      <c r="AI49" s="67"/>
      <c r="AJ49" s="1018">
        <f t="shared" si="1"/>
        <v>-0.1</v>
      </c>
      <c r="AK49" s="1018"/>
      <c r="AL49" s="1716">
        <f>ROUND(IF(AG49=0,1,AJ49/ABS(AG49)),3)</f>
        <v>-0.33300000000000002</v>
      </c>
    </row>
    <row r="50" spans="1:38" s="881" customFormat="1" ht="15" customHeight="1">
      <c r="A50" s="1064"/>
      <c r="B50" s="886" t="s">
        <v>964</v>
      </c>
      <c r="C50" s="107"/>
      <c r="D50" s="678">
        <f t="shared" si="4"/>
        <v>0</v>
      </c>
      <c r="E50" s="809"/>
      <c r="F50" s="678"/>
      <c r="G50" s="809"/>
      <c r="H50" s="678"/>
      <c r="I50" s="809"/>
      <c r="J50" s="678"/>
      <c r="K50" s="1529"/>
      <c r="L50" s="678"/>
      <c r="M50" s="1529"/>
      <c r="N50" s="678"/>
      <c r="O50" s="1529"/>
      <c r="P50" s="1781"/>
      <c r="Q50" s="1990"/>
      <c r="R50" s="1781"/>
      <c r="S50" s="1990"/>
      <c r="T50" s="1781"/>
      <c r="U50" s="1990"/>
      <c r="V50" s="1781"/>
      <c r="W50" s="1990"/>
      <c r="X50" s="1781"/>
      <c r="Y50" s="1990"/>
      <c r="Z50" s="1781"/>
      <c r="AA50" s="1991"/>
      <c r="AB50" s="1992"/>
      <c r="AC50" s="1993"/>
      <c r="AD50" s="1781">
        <v>0</v>
      </c>
      <c r="AE50" s="1992"/>
      <c r="AF50" s="1994"/>
      <c r="AG50" s="1781">
        <v>0</v>
      </c>
      <c r="AH50" s="1067"/>
      <c r="AI50" s="67"/>
      <c r="AJ50" s="1018">
        <f t="shared" si="1"/>
        <v>0</v>
      </c>
      <c r="AK50" s="1018"/>
      <c r="AL50" s="1716">
        <f>ROUND(IF(AG50=0,0,AJ50/ABS(AG50)),3)</f>
        <v>0</v>
      </c>
    </row>
    <row r="51" spans="1:38" s="881" customFormat="1" ht="15" customHeight="1">
      <c r="A51" s="1064"/>
      <c r="B51" s="886" t="s">
        <v>965</v>
      </c>
      <c r="C51" s="107"/>
      <c r="D51" s="678">
        <f t="shared" si="4"/>
        <v>0</v>
      </c>
      <c r="E51" s="809"/>
      <c r="F51" s="678"/>
      <c r="G51" s="809"/>
      <c r="H51" s="678"/>
      <c r="I51" s="809"/>
      <c r="J51" s="678"/>
      <c r="K51" s="1529"/>
      <c r="L51" s="678"/>
      <c r="M51" s="1529"/>
      <c r="N51" s="678"/>
      <c r="O51" s="1529"/>
      <c r="P51" s="1781"/>
      <c r="Q51" s="1990"/>
      <c r="R51" s="1781"/>
      <c r="S51" s="1990"/>
      <c r="T51" s="1781"/>
      <c r="U51" s="1990"/>
      <c r="V51" s="1781"/>
      <c r="W51" s="1990"/>
      <c r="X51" s="1781"/>
      <c r="Y51" s="1990"/>
      <c r="Z51" s="1781"/>
      <c r="AA51" s="1991"/>
      <c r="AB51" s="1992"/>
      <c r="AC51" s="1993"/>
      <c r="AD51" s="1781">
        <v>0</v>
      </c>
      <c r="AE51" s="1992"/>
      <c r="AF51" s="1994"/>
      <c r="AG51" s="1781">
        <v>0</v>
      </c>
      <c r="AH51" s="1067"/>
      <c r="AI51" s="67"/>
      <c r="AJ51" s="1018">
        <f t="shared" si="1"/>
        <v>0</v>
      </c>
      <c r="AK51" s="1018"/>
      <c r="AL51" s="1716">
        <f>ROUND(IF(AG51=0,0,AJ51/ABS(AG51)),3)</f>
        <v>0</v>
      </c>
    </row>
    <row r="52" spans="1:38" s="881" customFormat="1" ht="15" customHeight="1">
      <c r="A52" s="1064"/>
      <c r="B52" s="310" t="s">
        <v>1096</v>
      </c>
      <c r="C52" s="107"/>
      <c r="D52" s="1068">
        <f>ROUND(SUM(D19:D51),1)</f>
        <v>13.3</v>
      </c>
      <c r="E52" s="885"/>
      <c r="F52" s="1068">
        <f>ROUND(SUM(F19:F51),1)</f>
        <v>0</v>
      </c>
      <c r="G52" s="885"/>
      <c r="H52" s="1068">
        <f>ROUND(SUM(H19:H51),1)</f>
        <v>0</v>
      </c>
      <c r="I52" s="885"/>
      <c r="J52" s="1068">
        <f>ROUND(SUM(J19:J51),1)</f>
        <v>0</v>
      </c>
      <c r="K52" s="140"/>
      <c r="L52" s="1068">
        <f>ROUND(SUM(L19:L51),1)</f>
        <v>0</v>
      </c>
      <c r="M52" s="140"/>
      <c r="N52" s="1068">
        <f>ROUND(SUM(N19:N51),1)</f>
        <v>0</v>
      </c>
      <c r="O52" s="140"/>
      <c r="P52" s="1995">
        <f>ROUND(SUM(P19:P51),1)</f>
        <v>0</v>
      </c>
      <c r="Q52" s="1983"/>
      <c r="R52" s="1995">
        <f>ROUND(SUM(R19:R51),1)</f>
        <v>0</v>
      </c>
      <c r="S52" s="1983"/>
      <c r="T52" s="1995">
        <f>ROUND(SUM(T19:T51),1)</f>
        <v>0</v>
      </c>
      <c r="U52" s="1983"/>
      <c r="V52" s="1995">
        <f>ROUND(SUM(V19:V51),1)</f>
        <v>0</v>
      </c>
      <c r="W52" s="1987"/>
      <c r="X52" s="1995">
        <f>ROUND(SUM(X19:X51),1)</f>
        <v>0</v>
      </c>
      <c r="Y52" s="1987"/>
      <c r="Z52" s="1995">
        <f>ROUND(SUM(Z19:Z51),1)</f>
        <v>0</v>
      </c>
      <c r="AA52" s="1996"/>
      <c r="AB52" s="1983"/>
      <c r="AC52" s="1988"/>
      <c r="AD52" s="1995">
        <f>ROUND(SUM(AD19:AD51),1)</f>
        <v>13.3</v>
      </c>
      <c r="AE52" s="1987"/>
      <c r="AF52" s="1989"/>
      <c r="AG52" s="1995">
        <f>ROUND(SUM(AG19:AG51),1)</f>
        <v>15.3</v>
      </c>
      <c r="AH52" s="1067"/>
      <c r="AI52" s="67"/>
      <c r="AJ52" s="1068">
        <f>ROUND(SUM(AJ19:AJ51),1)</f>
        <v>-2</v>
      </c>
      <c r="AK52" s="1018"/>
      <c r="AL52" s="1443">
        <f>ROUND(SUM((AD52-AG52)/ABS(AG52)),3)</f>
        <v>-0.13100000000000001</v>
      </c>
    </row>
    <row r="53" spans="1:38" s="881" customFormat="1" ht="15" customHeight="1">
      <c r="A53" s="1064"/>
      <c r="B53" s="886"/>
      <c r="C53" s="107"/>
      <c r="D53" s="678"/>
      <c r="E53" s="885"/>
      <c r="F53" s="1116"/>
      <c r="G53" s="885"/>
      <c r="H53" s="889"/>
      <c r="I53" s="885"/>
      <c r="J53" s="889"/>
      <c r="K53" s="140"/>
      <c r="L53" s="118"/>
      <c r="M53" s="140"/>
      <c r="N53" s="118"/>
      <c r="O53" s="140"/>
      <c r="P53" s="1982"/>
      <c r="Q53" s="1983"/>
      <c r="R53" s="1984"/>
      <c r="S53" s="1983"/>
      <c r="T53" s="1985"/>
      <c r="U53" s="1983"/>
      <c r="V53" s="1986"/>
      <c r="W53" s="1987"/>
      <c r="X53" s="1986"/>
      <c r="Y53" s="1987"/>
      <c r="Z53" s="1986"/>
      <c r="AA53" s="1986"/>
      <c r="AB53" s="1983"/>
      <c r="AC53" s="1988"/>
      <c r="AD53" s="1987"/>
      <c r="AE53" s="1987"/>
      <c r="AF53" s="1989"/>
      <c r="AG53" s="1987"/>
      <c r="AH53" s="1067"/>
      <c r="AI53" s="67"/>
      <c r="AJ53" s="1018"/>
      <c r="AK53" s="1018"/>
      <c r="AL53" s="1441"/>
    </row>
    <row r="54" spans="1:38" ht="15" customHeight="1">
      <c r="A54" s="150"/>
      <c r="B54" s="280" t="s">
        <v>148</v>
      </c>
      <c r="C54" s="31"/>
      <c r="D54" s="678">
        <f t="shared" ref="D54" si="7">$AD54</f>
        <v>7158.4</v>
      </c>
      <c r="E54" s="809"/>
      <c r="F54" s="678"/>
      <c r="G54" s="809"/>
      <c r="H54" s="678"/>
      <c r="I54" s="809"/>
      <c r="J54" s="678"/>
      <c r="K54" s="1529"/>
      <c r="L54" s="678"/>
      <c r="M54" s="1529"/>
      <c r="N54" s="678"/>
      <c r="O54" s="1529"/>
      <c r="P54" s="678"/>
      <c r="Q54" s="1990"/>
      <c r="R54" s="1781"/>
      <c r="S54" s="1990"/>
      <c r="T54" s="1781"/>
      <c r="U54" s="1990"/>
      <c r="V54" s="1781"/>
      <c r="W54" s="1990"/>
      <c r="X54" s="1781"/>
      <c r="Y54" s="1990"/>
      <c r="Z54" s="1781"/>
      <c r="AA54" s="1991"/>
      <c r="AB54" s="1992"/>
      <c r="AC54" s="1993"/>
      <c r="AD54" s="1781">
        <v>7158.4</v>
      </c>
      <c r="AE54" s="1992"/>
      <c r="AF54" s="1994"/>
      <c r="AG54" s="1781">
        <v>10777.4</v>
      </c>
      <c r="AH54" s="275"/>
      <c r="AI54" s="56"/>
      <c r="AJ54" s="937">
        <f>ROUND(SUM(+AD54-AG54),1)</f>
        <v>-3619</v>
      </c>
      <c r="AK54" s="937"/>
      <c r="AL54" s="1444">
        <f>ROUND(SUM((AD54-AG54)/ABS(AG54)),3)</f>
        <v>-0.33600000000000002</v>
      </c>
    </row>
    <row r="55" spans="1:38" ht="15" customHeight="1">
      <c r="A55" s="150"/>
      <c r="B55" s="31"/>
      <c r="C55" s="31"/>
      <c r="D55" s="1832"/>
      <c r="E55" s="809"/>
      <c r="F55" s="3699"/>
      <c r="G55" s="809"/>
      <c r="H55" s="1832"/>
      <c r="I55" s="809"/>
      <c r="J55" s="1832"/>
      <c r="K55" s="165"/>
      <c r="L55" s="168"/>
      <c r="M55" s="165"/>
      <c r="N55" s="168"/>
      <c r="O55" s="165"/>
      <c r="P55" s="1460"/>
      <c r="Q55" s="1456"/>
      <c r="R55" s="1460"/>
      <c r="S55" s="1456"/>
      <c r="T55" s="1997"/>
      <c r="U55" s="1456"/>
      <c r="V55" s="1997"/>
      <c r="W55" s="1998"/>
      <c r="X55" s="1997"/>
      <c r="Y55" s="1998"/>
      <c r="Z55" s="1997"/>
      <c r="AA55" s="1999"/>
      <c r="AB55" s="1456"/>
      <c r="AC55" s="2000"/>
      <c r="AD55" s="2043"/>
      <c r="AE55" s="1969"/>
      <c r="AF55" s="1989"/>
      <c r="AG55" s="2043"/>
      <c r="AH55" s="275"/>
      <c r="AI55" s="56"/>
      <c r="AJ55" s="1403"/>
      <c r="AK55" s="1404"/>
      <c r="AL55" s="1445"/>
    </row>
    <row r="56" spans="1:38" ht="15" customHeight="1">
      <c r="A56" s="150"/>
      <c r="B56" s="29" t="s">
        <v>149</v>
      </c>
      <c r="C56" s="31"/>
      <c r="D56" s="916">
        <f>ROUND(SUM(+D52+D54),2)</f>
        <v>7171.7</v>
      </c>
      <c r="E56" s="207"/>
      <c r="F56" s="112">
        <f>ROUND(SUM(+F52+F54),2)</f>
        <v>0</v>
      </c>
      <c r="G56" s="207"/>
      <c r="H56" s="916">
        <f>ROUND(SUM(+H52+H54),2)</f>
        <v>0</v>
      </c>
      <c r="I56" s="207"/>
      <c r="J56" s="916">
        <f>ROUND(SUM(+J52+J54),2)</f>
        <v>0</v>
      </c>
      <c r="K56" s="207"/>
      <c r="L56" s="916">
        <f>ROUND(SUM(+L52+L54),2)</f>
        <v>0</v>
      </c>
      <c r="M56" s="207"/>
      <c r="N56" s="916">
        <f>ROUND(SUM(+N52+N54),2)</f>
        <v>0</v>
      </c>
      <c r="O56" s="207"/>
      <c r="P56" s="1454">
        <f>ROUND(SUM(+P52+P54),2)</f>
        <v>0</v>
      </c>
      <c r="Q56" s="2002"/>
      <c r="R56" s="1454">
        <f>ROUND(SUM(+R52+R54),2)</f>
        <v>0</v>
      </c>
      <c r="S56" s="2002"/>
      <c r="T56" s="1454">
        <f>ROUND(SUM(+T52+T54),2)</f>
        <v>0</v>
      </c>
      <c r="U56" s="2002"/>
      <c r="V56" s="1454">
        <f>ROUND(SUM(+V52+V54),2)</f>
        <v>0</v>
      </c>
      <c r="W56" s="1454"/>
      <c r="X56" s="1454">
        <f>ROUND(SUM(+X52+X54),2)</f>
        <v>0</v>
      </c>
      <c r="Y56" s="1454"/>
      <c r="Z56" s="1454">
        <f>ROUND(SUM(+Z52+Z54),2)</f>
        <v>0</v>
      </c>
      <c r="AA56" s="1454"/>
      <c r="AB56" s="2002"/>
      <c r="AC56" s="2003"/>
      <c r="AD56" s="2042">
        <f>ROUND(SUM(+AD52+AD54),1)</f>
        <v>7171.7</v>
      </c>
      <c r="AE56" s="1455"/>
      <c r="AF56" s="3145"/>
      <c r="AG56" s="2042">
        <f>ROUND(SUM(+AG52+AG54),1)</f>
        <v>10792.7</v>
      </c>
      <c r="AH56" s="282"/>
      <c r="AI56" s="76"/>
      <c r="AJ56" s="823">
        <f>ROUND(SUM(+AJ52+AJ54),1)</f>
        <v>-3621</v>
      </c>
      <c r="AK56" s="284"/>
      <c r="AL56" s="1446">
        <f>ROUND(SUM((AD56-AG56)/ABS(AG56)),3)</f>
        <v>-0.33600000000000002</v>
      </c>
    </row>
    <row r="57" spans="1:38" ht="15" customHeight="1">
      <c r="A57" s="150"/>
      <c r="B57" s="31"/>
      <c r="C57" s="31"/>
      <c r="D57" s="1832"/>
      <c r="E57" s="809"/>
      <c r="F57" s="1036"/>
      <c r="G57" s="809"/>
      <c r="H57" s="682"/>
      <c r="I57" s="809"/>
      <c r="J57" s="682"/>
      <c r="K57" s="165"/>
      <c r="L57" s="88"/>
      <c r="M57" s="165"/>
      <c r="N57" s="88"/>
      <c r="O57" s="165"/>
      <c r="P57" s="1997"/>
      <c r="Q57" s="1456"/>
      <c r="R57" s="1997"/>
      <c r="S57" s="1456"/>
      <c r="T57" s="1997"/>
      <c r="U57" s="1456"/>
      <c r="V57" s="2043"/>
      <c r="W57" s="1987"/>
      <c r="X57" s="2043"/>
      <c r="Y57" s="1987"/>
      <c r="Z57" s="2043"/>
      <c r="AA57" s="1969"/>
      <c r="AB57" s="1983"/>
      <c r="AC57" s="1988"/>
      <c r="AD57" s="2162"/>
      <c r="AE57" s="2010"/>
      <c r="AF57" s="3171"/>
      <c r="AG57" s="2162"/>
      <c r="AH57" s="1801"/>
      <c r="AI57" s="1083"/>
      <c r="AJ57" s="1802"/>
      <c r="AK57" s="1802"/>
      <c r="AL57" s="1803"/>
    </row>
    <row r="58" spans="1:38" ht="15" customHeight="1">
      <c r="A58" s="150"/>
      <c r="B58" s="173" t="s">
        <v>22</v>
      </c>
      <c r="C58" s="31"/>
      <c r="D58" s="809"/>
      <c r="E58" s="809"/>
      <c r="F58" s="889"/>
      <c r="G58" s="809"/>
      <c r="H58" s="1523"/>
      <c r="I58" s="809"/>
      <c r="J58" s="1523"/>
      <c r="K58" s="165"/>
      <c r="L58" s="66"/>
      <c r="M58" s="165"/>
      <c r="N58" s="66"/>
      <c r="O58" s="165"/>
      <c r="P58" s="1998"/>
      <c r="Q58" s="1456"/>
      <c r="R58" s="1998"/>
      <c r="S58" s="1456"/>
      <c r="T58" s="1998"/>
      <c r="U58" s="1456"/>
      <c r="V58" s="1987"/>
      <c r="W58" s="1987"/>
      <c r="X58" s="1987"/>
      <c r="Y58" s="1987"/>
      <c r="Z58" s="1987"/>
      <c r="AA58" s="1987"/>
      <c r="AB58" s="1983"/>
      <c r="AC58" s="1988"/>
      <c r="AD58" s="1983"/>
      <c r="AE58" s="2010"/>
      <c r="AF58" s="3171"/>
      <c r="AG58" s="1983"/>
      <c r="AH58" s="1801"/>
      <c r="AI58" s="1083"/>
      <c r="AJ58" s="1802"/>
      <c r="AK58" s="1802"/>
      <c r="AL58" s="1803"/>
    </row>
    <row r="59" spans="1:38" ht="15" customHeight="1">
      <c r="A59" s="150"/>
      <c r="B59" s="684" t="s">
        <v>150</v>
      </c>
      <c r="C59" s="31"/>
      <c r="D59" s="676"/>
      <c r="E59" s="809"/>
      <c r="F59" s="678"/>
      <c r="G59" s="809"/>
      <c r="H59" s="678"/>
      <c r="I59" s="809"/>
      <c r="J59" s="678"/>
      <c r="K59" s="165"/>
      <c r="L59" s="119"/>
      <c r="M59" s="165"/>
      <c r="N59" s="119"/>
      <c r="O59" s="165"/>
      <c r="P59" s="2006"/>
      <c r="Q59" s="1456"/>
      <c r="R59" s="2007"/>
      <c r="S59" s="1456"/>
      <c r="T59" s="2007"/>
      <c r="U59" s="1456"/>
      <c r="V59" s="1987"/>
      <c r="W59" s="1987"/>
      <c r="X59" s="1987"/>
      <c r="Y59" s="1987"/>
      <c r="Z59" s="1987"/>
      <c r="AA59" s="1987"/>
      <c r="AB59" s="1983"/>
      <c r="AC59" s="1988"/>
      <c r="AD59" s="1983"/>
      <c r="AE59" s="2010"/>
      <c r="AF59" s="3171"/>
      <c r="AG59" s="1983"/>
      <c r="AH59" s="1801"/>
      <c r="AI59" s="1083"/>
      <c r="AJ59" s="1789"/>
      <c r="AK59" s="1802"/>
      <c r="AL59" s="1807"/>
    </row>
    <row r="60" spans="1:38" s="881" customFormat="1" ht="15" customHeight="1">
      <c r="A60" s="1064"/>
      <c r="B60" s="1805" t="s">
        <v>24</v>
      </c>
      <c r="C60" s="107"/>
      <c r="D60" s="678">
        <f t="shared" ref="D60:D62" si="8">$AD60</f>
        <v>272.8</v>
      </c>
      <c r="E60" s="809"/>
      <c r="F60" s="678"/>
      <c r="G60" s="809"/>
      <c r="H60" s="678"/>
      <c r="I60" s="809"/>
      <c r="J60" s="678"/>
      <c r="K60" s="1529"/>
      <c r="L60" s="678"/>
      <c r="M60" s="1529"/>
      <c r="N60" s="678"/>
      <c r="O60" s="678"/>
      <c r="P60" s="678"/>
      <c r="Q60" s="1990"/>
      <c r="R60" s="1781"/>
      <c r="S60" s="1990"/>
      <c r="T60" s="1781"/>
      <c r="U60" s="1990"/>
      <c r="V60" s="1781"/>
      <c r="W60" s="1990"/>
      <c r="X60" s="1781"/>
      <c r="Y60" s="1990"/>
      <c r="Z60" s="1781"/>
      <c r="AA60" s="1991"/>
      <c r="AB60" s="1992"/>
      <c r="AC60" s="1993"/>
      <c r="AD60" s="1781">
        <v>272.8</v>
      </c>
      <c r="AE60" s="1992"/>
      <c r="AF60" s="1994"/>
      <c r="AG60" s="1781">
        <v>382.9</v>
      </c>
      <c r="AH60" s="1067"/>
      <c r="AI60" s="67"/>
      <c r="AJ60" s="889">
        <f>ROUND(SUM(+AD60-AG60),1)</f>
        <v>-110.1</v>
      </c>
      <c r="AK60" s="889"/>
      <c r="AL60" s="1716">
        <f>ROUND(IF(AG60=0,0,AJ60/ABS(AG60)),3)</f>
        <v>-0.28799999999999998</v>
      </c>
    </row>
    <row r="61" spans="1:38" ht="15" customHeight="1">
      <c r="A61" s="150"/>
      <c r="B61" s="179" t="s">
        <v>25</v>
      </c>
      <c r="C61" s="31"/>
      <c r="D61" s="678">
        <f t="shared" si="8"/>
        <v>0.3</v>
      </c>
      <c r="E61" s="809"/>
      <c r="F61" s="678"/>
      <c r="G61" s="809"/>
      <c r="H61" s="678"/>
      <c r="I61" s="809"/>
      <c r="J61" s="678"/>
      <c r="K61" s="1529"/>
      <c r="L61" s="678"/>
      <c r="M61" s="1529"/>
      <c r="N61" s="678"/>
      <c r="O61" s="1529"/>
      <c r="P61" s="678"/>
      <c r="Q61" s="1990"/>
      <c r="R61" s="1781"/>
      <c r="S61" s="1990"/>
      <c r="T61" s="1781"/>
      <c r="U61" s="1990"/>
      <c r="V61" s="1781"/>
      <c r="W61" s="1990"/>
      <c r="X61" s="1781"/>
      <c r="Y61" s="1990"/>
      <c r="Z61" s="1781"/>
      <c r="AA61" s="1991"/>
      <c r="AB61" s="1992"/>
      <c r="AC61" s="1993"/>
      <c r="AD61" s="1781">
        <v>0.3</v>
      </c>
      <c r="AE61" s="1992"/>
      <c r="AF61" s="1994"/>
      <c r="AG61" s="1781">
        <v>0</v>
      </c>
      <c r="AH61" s="1067"/>
      <c r="AI61" s="67"/>
      <c r="AJ61" s="889">
        <f>ROUND(SUM(+AD61-AG61),1)</f>
        <v>0.3</v>
      </c>
      <c r="AK61" s="889"/>
      <c r="AL61" s="1821">
        <f>ROUND(IF(AG61=0,1,AJ61/ABS(AG61)),3)</f>
        <v>1</v>
      </c>
    </row>
    <row r="62" spans="1:38" s="881" customFormat="1" ht="15" customHeight="1">
      <c r="A62" s="1064"/>
      <c r="B62" s="1805" t="s">
        <v>26</v>
      </c>
      <c r="C62" s="107"/>
      <c r="D62" s="678">
        <f t="shared" si="8"/>
        <v>11.2</v>
      </c>
      <c r="E62" s="809"/>
      <c r="F62" s="678"/>
      <c r="G62" s="809"/>
      <c r="H62" s="678"/>
      <c r="I62" s="809"/>
      <c r="J62" s="678"/>
      <c r="K62" s="1529"/>
      <c r="L62" s="678"/>
      <c r="M62" s="1529"/>
      <c r="N62" s="678"/>
      <c r="O62" s="1529"/>
      <c r="P62" s="678"/>
      <c r="Q62" s="1990"/>
      <c r="R62" s="1781"/>
      <c r="S62" s="1990"/>
      <c r="T62" s="1781"/>
      <c r="U62" s="1990"/>
      <c r="V62" s="1781"/>
      <c r="W62" s="1990"/>
      <c r="X62" s="1781"/>
      <c r="Y62" s="1990"/>
      <c r="Z62" s="1781"/>
      <c r="AA62" s="1991"/>
      <c r="AB62" s="1992"/>
      <c r="AC62" s="1993"/>
      <c r="AD62" s="1781">
        <v>11.2</v>
      </c>
      <c r="AE62" s="1992"/>
      <c r="AF62" s="1994"/>
      <c r="AG62" s="1781">
        <v>2</v>
      </c>
      <c r="AH62" s="1067"/>
      <c r="AI62" s="67"/>
      <c r="AJ62" s="889">
        <f>ROUND(SUM(+AD62-AG62),1)</f>
        <v>9.1999999999999993</v>
      </c>
      <c r="AK62" s="889"/>
      <c r="AL62" s="3767">
        <f>ROUND(IF(AG62=0,0,AJ62/ABS(AG62)),3)</f>
        <v>4.5999999999999996</v>
      </c>
    </row>
    <row r="63" spans="1:38" s="881" customFormat="1" ht="15" customHeight="1">
      <c r="A63" s="1064"/>
      <c r="B63" s="1805" t="s">
        <v>27</v>
      </c>
      <c r="C63" s="107"/>
      <c r="D63" s="678" t="s">
        <v>14</v>
      </c>
      <c r="E63" s="809"/>
      <c r="F63" s="678"/>
      <c r="G63" s="809"/>
      <c r="H63" s="678"/>
      <c r="I63" s="809"/>
      <c r="J63" s="678"/>
      <c r="K63" s="1529"/>
      <c r="L63" s="678"/>
      <c r="M63" s="1529"/>
      <c r="N63" s="678"/>
      <c r="O63" s="1529"/>
      <c r="P63" s="678"/>
      <c r="Q63" s="1990"/>
      <c r="R63" s="1781"/>
      <c r="S63" s="1990"/>
      <c r="T63" s="1781"/>
      <c r="U63" s="1990"/>
      <c r="V63" s="1781"/>
      <c r="W63" s="1990"/>
      <c r="X63" s="1781"/>
      <c r="Y63" s="1990"/>
      <c r="Z63" s="1781"/>
      <c r="AA63" s="1991"/>
      <c r="AB63" s="1992"/>
      <c r="AC63" s="1993"/>
      <c r="AD63" s="1781"/>
      <c r="AE63" s="1992"/>
      <c r="AF63" s="1994"/>
      <c r="AG63" s="1781"/>
      <c r="AH63" s="1067"/>
      <c r="AI63" s="67"/>
      <c r="AJ63" s="678"/>
      <c r="AK63" s="1789"/>
      <c r="AL63" s="1807"/>
    </row>
    <row r="64" spans="1:38" s="881" customFormat="1" ht="15" customHeight="1">
      <c r="A64" s="1064"/>
      <c r="B64" s="1806" t="s">
        <v>28</v>
      </c>
      <c r="C64" s="107"/>
      <c r="D64" s="678">
        <f t="shared" ref="D64:D69" si="9">$AD64</f>
        <v>3371.2</v>
      </c>
      <c r="E64" s="809"/>
      <c r="F64" s="678"/>
      <c r="G64" s="809"/>
      <c r="H64" s="678"/>
      <c r="I64" s="809"/>
      <c r="J64" s="678"/>
      <c r="K64" s="1529"/>
      <c r="L64" s="678"/>
      <c r="M64" s="1529"/>
      <c r="N64" s="678"/>
      <c r="O64" s="1529"/>
      <c r="P64" s="678"/>
      <c r="Q64" s="1990"/>
      <c r="R64" s="1781"/>
      <c r="S64" s="1990"/>
      <c r="T64" s="1781"/>
      <c r="U64" s="1990"/>
      <c r="V64" s="1781"/>
      <c r="W64" s="1990"/>
      <c r="X64" s="1781"/>
      <c r="Y64" s="1990"/>
      <c r="Z64" s="1781"/>
      <c r="AA64" s="1991"/>
      <c r="AB64" s="1992"/>
      <c r="AC64" s="1993"/>
      <c r="AD64" s="1781">
        <v>3371.2</v>
      </c>
      <c r="AE64" s="1992"/>
      <c r="AF64" s="1994"/>
      <c r="AG64" s="1781">
        <v>4652.6000000000004</v>
      </c>
      <c r="AH64" s="1067"/>
      <c r="AI64" s="67"/>
      <c r="AJ64" s="889">
        <f t="shared" ref="AJ64:AJ69" si="10">ROUND(SUM(+AD64-AG64),1)</f>
        <v>-1281.4000000000001</v>
      </c>
      <c r="AK64" s="889"/>
      <c r="AL64" s="1716">
        <f t="shared" ref="AL64:AL69" si="11">ROUND(IF(AG64=0,0,AJ64/ABS(AG64)),3)</f>
        <v>-0.27500000000000002</v>
      </c>
    </row>
    <row r="65" spans="1:38" s="881" customFormat="1" ht="15" customHeight="1">
      <c r="A65" s="1064"/>
      <c r="B65" s="1805" t="s">
        <v>29</v>
      </c>
      <c r="C65" s="107"/>
      <c r="D65" s="678">
        <f t="shared" si="9"/>
        <v>521.6</v>
      </c>
      <c r="E65" s="809"/>
      <c r="F65" s="678"/>
      <c r="G65" s="809"/>
      <c r="H65" s="678"/>
      <c r="I65" s="809"/>
      <c r="J65" s="678"/>
      <c r="K65" s="1529"/>
      <c r="L65" s="678"/>
      <c r="M65" s="1529"/>
      <c r="N65" s="678"/>
      <c r="O65" s="1529"/>
      <c r="P65" s="678"/>
      <c r="Q65" s="1990"/>
      <c r="R65" s="1781"/>
      <c r="S65" s="1990"/>
      <c r="T65" s="1781"/>
      <c r="U65" s="1990"/>
      <c r="V65" s="1781"/>
      <c r="W65" s="1990"/>
      <c r="X65" s="1781"/>
      <c r="Y65" s="1990"/>
      <c r="Z65" s="1781"/>
      <c r="AA65" s="1991"/>
      <c r="AB65" s="1992"/>
      <c r="AC65" s="1993"/>
      <c r="AD65" s="1781">
        <v>521.6</v>
      </c>
      <c r="AE65" s="1992"/>
      <c r="AF65" s="1994"/>
      <c r="AG65" s="1781">
        <v>480</v>
      </c>
      <c r="AH65" s="1067"/>
      <c r="AI65" s="67"/>
      <c r="AJ65" s="889">
        <f t="shared" si="10"/>
        <v>41.6</v>
      </c>
      <c r="AK65" s="889"/>
      <c r="AL65" s="1716">
        <f t="shared" si="11"/>
        <v>8.6999999999999994E-2</v>
      </c>
    </row>
    <row r="66" spans="1:38" s="881" customFormat="1" ht="15" customHeight="1">
      <c r="A66" s="1064"/>
      <c r="B66" s="1805" t="s">
        <v>30</v>
      </c>
      <c r="C66" s="107"/>
      <c r="D66" s="678">
        <f t="shared" si="9"/>
        <v>103.9</v>
      </c>
      <c r="E66" s="809"/>
      <c r="F66" s="678"/>
      <c r="G66" s="809"/>
      <c r="H66" s="678"/>
      <c r="I66" s="809"/>
      <c r="J66" s="678"/>
      <c r="K66" s="1529"/>
      <c r="L66" s="678"/>
      <c r="M66" s="1529"/>
      <c r="N66" s="678"/>
      <c r="O66" s="1529"/>
      <c r="P66" s="678"/>
      <c r="Q66" s="1990"/>
      <c r="R66" s="1781"/>
      <c r="S66" s="1990"/>
      <c r="T66" s="1781"/>
      <c r="U66" s="1990"/>
      <c r="V66" s="1781"/>
      <c r="W66" s="1990"/>
      <c r="X66" s="1781"/>
      <c r="Y66" s="1990"/>
      <c r="Z66" s="1781"/>
      <c r="AA66" s="1991"/>
      <c r="AB66" s="1992"/>
      <c r="AC66" s="1993"/>
      <c r="AD66" s="1781">
        <v>103.9</v>
      </c>
      <c r="AE66" s="1992"/>
      <c r="AF66" s="1994"/>
      <c r="AG66" s="1781">
        <v>74.400000000000006</v>
      </c>
      <c r="AH66" s="1067"/>
      <c r="AI66" s="67"/>
      <c r="AJ66" s="889">
        <f t="shared" si="10"/>
        <v>29.5</v>
      </c>
      <c r="AK66" s="889"/>
      <c r="AL66" s="1716">
        <f t="shared" si="11"/>
        <v>0.39700000000000002</v>
      </c>
    </row>
    <row r="67" spans="1:38" s="881" customFormat="1" ht="15" customHeight="1">
      <c r="A67" s="1064"/>
      <c r="B67" s="1805" t="s">
        <v>31</v>
      </c>
      <c r="C67" s="107"/>
      <c r="D67" s="678">
        <f t="shared" si="9"/>
        <v>158.5</v>
      </c>
      <c r="E67" s="809"/>
      <c r="F67" s="678"/>
      <c r="G67" s="809"/>
      <c r="H67" s="678"/>
      <c r="I67" s="809"/>
      <c r="J67" s="678"/>
      <c r="K67" s="1529"/>
      <c r="L67" s="678"/>
      <c r="M67" s="1529"/>
      <c r="N67" s="678"/>
      <c r="O67" s="1529"/>
      <c r="P67" s="678"/>
      <c r="Q67" s="1990"/>
      <c r="R67" s="1781"/>
      <c r="S67" s="1990"/>
      <c r="T67" s="1781"/>
      <c r="U67" s="1990"/>
      <c r="V67" s="1781"/>
      <c r="W67" s="1990"/>
      <c r="X67" s="1781"/>
      <c r="Y67" s="1990"/>
      <c r="Z67" s="1781"/>
      <c r="AA67" s="1991"/>
      <c r="AB67" s="1992"/>
      <c r="AC67" s="1993"/>
      <c r="AD67" s="1781">
        <v>158.5</v>
      </c>
      <c r="AE67" s="1992"/>
      <c r="AF67" s="1994"/>
      <c r="AG67" s="1781">
        <v>134.80000000000001</v>
      </c>
      <c r="AH67" s="1067"/>
      <c r="AI67" s="67"/>
      <c r="AJ67" s="889">
        <f t="shared" si="10"/>
        <v>23.7</v>
      </c>
      <c r="AK67" s="889"/>
      <c r="AL67" s="1716">
        <f t="shared" si="11"/>
        <v>0.17599999999999999</v>
      </c>
    </row>
    <row r="68" spans="1:38" s="881" customFormat="1" ht="15" customHeight="1">
      <c r="A68" s="1064"/>
      <c r="B68" s="1805" t="s">
        <v>32</v>
      </c>
      <c r="C68" s="107"/>
      <c r="D68" s="678">
        <f t="shared" si="9"/>
        <v>0.2</v>
      </c>
      <c r="E68" s="809"/>
      <c r="F68" s="678"/>
      <c r="G68" s="809"/>
      <c r="H68" s="678"/>
      <c r="I68" s="809"/>
      <c r="J68" s="678"/>
      <c r="K68" s="1529"/>
      <c r="L68" s="678"/>
      <c r="M68" s="1529"/>
      <c r="N68" s="678"/>
      <c r="O68" s="1529"/>
      <c r="P68" s="678"/>
      <c r="Q68" s="1990"/>
      <c r="R68" s="1781"/>
      <c r="S68" s="1990"/>
      <c r="T68" s="1781"/>
      <c r="U68" s="1990"/>
      <c r="V68" s="1781"/>
      <c r="W68" s="1990"/>
      <c r="X68" s="1781"/>
      <c r="Y68" s="1990"/>
      <c r="Z68" s="1781"/>
      <c r="AA68" s="1991"/>
      <c r="AB68" s="1992"/>
      <c r="AC68" s="1993"/>
      <c r="AD68" s="1782">
        <v>0.2</v>
      </c>
      <c r="AE68" s="1992"/>
      <c r="AF68" s="1994"/>
      <c r="AG68" s="1781">
        <v>0.3</v>
      </c>
      <c r="AH68" s="1067"/>
      <c r="AI68" s="67"/>
      <c r="AJ68" s="889">
        <f t="shared" si="10"/>
        <v>-0.1</v>
      </c>
      <c r="AK68" s="889"/>
      <c r="AL68" s="1716">
        <f>ROUND(IF(AG68=0,1,AJ68/ABS(AG68)),3)</f>
        <v>-0.33300000000000002</v>
      </c>
    </row>
    <row r="69" spans="1:38" s="881" customFormat="1" ht="15" customHeight="1">
      <c r="A69" s="1064"/>
      <c r="B69" s="1805" t="s">
        <v>33</v>
      </c>
      <c r="C69" s="107"/>
      <c r="D69" s="678">
        <f t="shared" si="9"/>
        <v>2.4</v>
      </c>
      <c r="E69" s="809"/>
      <c r="F69" s="678"/>
      <c r="G69" s="809"/>
      <c r="H69" s="678"/>
      <c r="I69" s="809"/>
      <c r="J69" s="678"/>
      <c r="K69" s="1529"/>
      <c r="L69" s="678"/>
      <c r="M69" s="1529"/>
      <c r="N69" s="678"/>
      <c r="O69" s="1529"/>
      <c r="P69" s="678"/>
      <c r="Q69" s="1990"/>
      <c r="R69" s="1781"/>
      <c r="S69" s="1990"/>
      <c r="T69" s="1781"/>
      <c r="U69" s="1990"/>
      <c r="V69" s="1781"/>
      <c r="W69" s="1990"/>
      <c r="X69" s="1781"/>
      <c r="Y69" s="1990"/>
      <c r="Z69" s="1781"/>
      <c r="AA69" s="1991"/>
      <c r="AB69" s="1992"/>
      <c r="AC69" s="1993"/>
      <c r="AD69" s="1781">
        <v>2.4</v>
      </c>
      <c r="AE69" s="1992"/>
      <c r="AF69" s="1994"/>
      <c r="AG69" s="1781">
        <v>3.9</v>
      </c>
      <c r="AH69" s="1067"/>
      <c r="AI69" s="67"/>
      <c r="AJ69" s="889">
        <f t="shared" si="10"/>
        <v>-1.5</v>
      </c>
      <c r="AK69" s="1018"/>
      <c r="AL69" s="1804">
        <f t="shared" si="11"/>
        <v>-0.38500000000000001</v>
      </c>
    </row>
    <row r="70" spans="1:38" ht="15" customHeight="1">
      <c r="A70" s="150"/>
      <c r="B70" s="29" t="s">
        <v>1099</v>
      </c>
      <c r="C70" s="31"/>
      <c r="D70" s="294">
        <f>ROUND(SUM(D60:D69),2)</f>
        <v>4442.1000000000004</v>
      </c>
      <c r="E70" s="207"/>
      <c r="F70" s="1090">
        <f>ROUND(SUM(F60:F69),2)</f>
        <v>0</v>
      </c>
      <c r="G70" s="166"/>
      <c r="H70" s="294">
        <f>ROUND(SUM(H60:H69),2)</f>
        <v>0</v>
      </c>
      <c r="I70" s="207"/>
      <c r="J70" s="294">
        <f>ROUND(SUM(J60:J69),2)</f>
        <v>0</v>
      </c>
      <c r="K70" s="207"/>
      <c r="L70" s="294">
        <f>ROUND(SUM(L60:L69),2)</f>
        <v>0</v>
      </c>
      <c r="M70" s="207"/>
      <c r="N70" s="294">
        <f>ROUND(SUM(N60:N69),2)</f>
        <v>0</v>
      </c>
      <c r="O70" s="207"/>
      <c r="P70" s="2008">
        <f>ROUND(SUM(P60:P69),2)</f>
        <v>0</v>
      </c>
      <c r="Q70" s="2002"/>
      <c r="R70" s="2008">
        <f>ROUND(SUM(R60:R69),2)</f>
        <v>0</v>
      </c>
      <c r="S70" s="2002"/>
      <c r="T70" s="2008">
        <f>ROUND(SUM(T60:T69),2)</f>
        <v>0</v>
      </c>
      <c r="U70" s="2002"/>
      <c r="V70" s="2163">
        <f>ROUND(SUM(V60:V69),2)</f>
        <v>0</v>
      </c>
      <c r="W70" s="2042"/>
      <c r="X70" s="2163">
        <f>ROUND(SUM(X60:X69),2)</f>
        <v>0</v>
      </c>
      <c r="Y70" s="2042"/>
      <c r="Z70" s="2163">
        <f>ROUND(SUM(Z60:Z69),2)</f>
        <v>0</v>
      </c>
      <c r="AA70" s="1455"/>
      <c r="AB70" s="2164"/>
      <c r="AC70" s="2165"/>
      <c r="AD70" s="2009">
        <f>ROUND(SUM(AD60:AD69),1)</f>
        <v>4442.1000000000004</v>
      </c>
      <c r="AE70" s="1455"/>
      <c r="AF70" s="3145"/>
      <c r="AG70" s="2009">
        <f>ROUND(SUM(AG60:AG69),1)</f>
        <v>5730.9</v>
      </c>
      <c r="AH70" s="1809"/>
      <c r="AI70" s="115"/>
      <c r="AJ70" s="111">
        <f>ROUND(SUM(AD70-AG70),1)</f>
        <v>-1288.8</v>
      </c>
      <c r="AK70" s="2166"/>
      <c r="AL70" s="2167">
        <f>ROUND(SUM((AD70-AG70)/ABS(AG70)),3)</f>
        <v>-0.22500000000000001</v>
      </c>
    </row>
    <row r="71" spans="1:38" s="881" customFormat="1" ht="15" customHeight="1">
      <c r="A71" s="1064"/>
      <c r="B71" s="107" t="s">
        <v>151</v>
      </c>
      <c r="C71" s="107"/>
      <c r="D71" s="809"/>
      <c r="E71" s="809"/>
      <c r="F71" s="889"/>
      <c r="G71" s="809"/>
      <c r="H71" s="1523"/>
      <c r="I71" s="809"/>
      <c r="J71" s="1523"/>
      <c r="K71" s="140"/>
      <c r="L71" s="118"/>
      <c r="M71" s="140"/>
      <c r="N71" s="118"/>
      <c r="O71" s="140"/>
      <c r="P71" s="1987"/>
      <c r="Q71" s="1983"/>
      <c r="R71" s="1987"/>
      <c r="S71" s="1983"/>
      <c r="T71" s="1987"/>
      <c r="U71" s="1983"/>
      <c r="V71" s="1987"/>
      <c r="W71" s="1987"/>
      <c r="X71" s="1987"/>
      <c r="Y71" s="1987"/>
      <c r="Z71" s="1987"/>
      <c r="AA71" s="1987"/>
      <c r="AB71" s="1983"/>
      <c r="AC71" s="1988"/>
      <c r="AD71" s="1983"/>
      <c r="AE71" s="2010"/>
      <c r="AF71" s="3171"/>
      <c r="AG71" s="1983"/>
      <c r="AH71" s="1801"/>
      <c r="AI71" s="1083"/>
      <c r="AJ71" s="1802"/>
      <c r="AK71" s="1802"/>
      <c r="AL71" s="1803"/>
    </row>
    <row r="72" spans="1:38" s="881" customFormat="1" ht="15" customHeight="1">
      <c r="A72" s="1064"/>
      <c r="B72" s="107" t="s">
        <v>152</v>
      </c>
      <c r="C72" s="107"/>
      <c r="D72" s="678">
        <f>$AD72</f>
        <v>51</v>
      </c>
      <c r="E72" s="809"/>
      <c r="F72" s="678"/>
      <c r="G72" s="809"/>
      <c r="H72" s="678"/>
      <c r="I72" s="809"/>
      <c r="J72" s="678"/>
      <c r="K72" s="1529"/>
      <c r="L72" s="678"/>
      <c r="M72" s="1529"/>
      <c r="N72" s="678"/>
      <c r="O72" s="1529"/>
      <c r="P72" s="678"/>
      <c r="Q72" s="1990"/>
      <c r="R72" s="1781"/>
      <c r="S72" s="1990"/>
      <c r="T72" s="1781"/>
      <c r="U72" s="1990"/>
      <c r="V72" s="1781"/>
      <c r="W72" s="1990"/>
      <c r="X72" s="1781"/>
      <c r="Y72" s="1990"/>
      <c r="Z72" s="1781"/>
      <c r="AA72" s="1991"/>
      <c r="AB72" s="1992"/>
      <c r="AC72" s="1993"/>
      <c r="AD72" s="1781">
        <v>51</v>
      </c>
      <c r="AE72" s="1992"/>
      <c r="AF72" s="1994"/>
      <c r="AG72" s="1781">
        <v>74.7</v>
      </c>
      <c r="AH72" s="1067"/>
      <c r="AI72" s="67"/>
      <c r="AJ72" s="889">
        <f>ROUND(SUM(+AD72-AG72),1)</f>
        <v>-23.7</v>
      </c>
      <c r="AK72" s="889"/>
      <c r="AL72" s="1716">
        <f>ROUND(IF(AG72=0,0,AJ72/ABS(AG72)),3)</f>
        <v>-0.317</v>
      </c>
    </row>
    <row r="73" spans="1:38" s="881" customFormat="1" ht="15" customHeight="1">
      <c r="A73" s="1064"/>
      <c r="B73" s="107" t="s">
        <v>178</v>
      </c>
      <c r="C73" s="107"/>
      <c r="D73" s="678">
        <f t="shared" ref="D73:D77" si="12">$AD73</f>
        <v>156.9</v>
      </c>
      <c r="E73" s="809"/>
      <c r="F73" s="678"/>
      <c r="G73" s="809"/>
      <c r="H73" s="678"/>
      <c r="I73" s="809"/>
      <c r="J73" s="678"/>
      <c r="K73" s="1529"/>
      <c r="L73" s="678"/>
      <c r="M73" s="1529"/>
      <c r="N73" s="678"/>
      <c r="O73" s="1529"/>
      <c r="P73" s="678"/>
      <c r="Q73" s="1990"/>
      <c r="R73" s="1781"/>
      <c r="S73" s="1990"/>
      <c r="T73" s="1781"/>
      <c r="U73" s="1990"/>
      <c r="V73" s="1781"/>
      <c r="W73" s="1990"/>
      <c r="X73" s="1781"/>
      <c r="Y73" s="1990"/>
      <c r="Z73" s="1781"/>
      <c r="AA73" s="1991"/>
      <c r="AB73" s="1992"/>
      <c r="AC73" s="1993"/>
      <c r="AD73" s="1781">
        <v>156.9</v>
      </c>
      <c r="AE73" s="1992"/>
      <c r="AF73" s="1994"/>
      <c r="AG73" s="1781">
        <v>40.800000000000004</v>
      </c>
      <c r="AH73" s="1067"/>
      <c r="AI73" s="67"/>
      <c r="AJ73" s="889">
        <f>ROUND(SUM(+AD73-AG73),1)</f>
        <v>116.1</v>
      </c>
      <c r="AK73" s="889"/>
      <c r="AL73" s="1716">
        <f>ROUND(IF(AG73=0,0,AJ73/ABS(AG73)),3)</f>
        <v>2.8460000000000001</v>
      </c>
    </row>
    <row r="74" spans="1:38" s="881" customFormat="1" ht="15" customHeight="1">
      <c r="A74" s="1064"/>
      <c r="B74" s="107" t="s">
        <v>154</v>
      </c>
      <c r="C74" s="107"/>
      <c r="D74" s="678">
        <f t="shared" si="12"/>
        <v>25.4</v>
      </c>
      <c r="E74" s="809"/>
      <c r="F74" s="678"/>
      <c r="G74" s="809"/>
      <c r="H74" s="678"/>
      <c r="I74" s="809"/>
      <c r="J74" s="678"/>
      <c r="K74" s="1529"/>
      <c r="L74" s="678"/>
      <c r="M74" s="1529"/>
      <c r="N74" s="678"/>
      <c r="O74" s="1529"/>
      <c r="P74" s="678"/>
      <c r="Q74" s="1990"/>
      <c r="R74" s="1781"/>
      <c r="S74" s="1990"/>
      <c r="T74" s="1781"/>
      <c r="U74" s="1990"/>
      <c r="V74" s="1781"/>
      <c r="W74" s="1990"/>
      <c r="X74" s="1781"/>
      <c r="Y74" s="1990"/>
      <c r="Z74" s="1781"/>
      <c r="AA74" s="1991"/>
      <c r="AB74" s="1992"/>
      <c r="AC74" s="1993"/>
      <c r="AD74" s="1781">
        <v>25.4</v>
      </c>
      <c r="AE74" s="1992"/>
      <c r="AF74" s="1994"/>
      <c r="AG74" s="1781">
        <v>22.7</v>
      </c>
      <c r="AH74" s="1067"/>
      <c r="AI74" s="67"/>
      <c r="AJ74" s="889">
        <f>ROUND(SUM(+AD74-AG74),1)</f>
        <v>2.7</v>
      </c>
      <c r="AK74" s="889"/>
      <c r="AL74" s="1716">
        <f>ROUND(IF(AG74=0,0,AJ74/ABS(AG74)),3)</f>
        <v>0.11899999999999999</v>
      </c>
    </row>
    <row r="75" spans="1:38" s="881" customFormat="1" ht="15" customHeight="1">
      <c r="A75" s="1064"/>
      <c r="B75" s="3110" t="s">
        <v>1295</v>
      </c>
      <c r="C75" s="107"/>
      <c r="D75" s="678"/>
      <c r="E75" s="809"/>
      <c r="F75" s="678"/>
      <c r="G75" s="809"/>
      <c r="H75" s="678"/>
      <c r="I75" s="809"/>
      <c r="J75" s="678"/>
      <c r="K75" s="1529"/>
      <c r="L75" s="678"/>
      <c r="M75" s="1529"/>
      <c r="N75" s="678"/>
      <c r="O75" s="1529"/>
      <c r="P75" s="678"/>
      <c r="Q75" s="1990"/>
      <c r="R75" s="1781"/>
      <c r="S75" s="1990"/>
      <c r="T75" s="1781"/>
      <c r="U75" s="1990"/>
      <c r="V75" s="1781"/>
      <c r="W75" s="1990"/>
      <c r="X75" s="1781"/>
      <c r="Y75" s="1990"/>
      <c r="Z75" s="1781"/>
      <c r="AA75" s="1991"/>
      <c r="AB75" s="1992"/>
      <c r="AC75" s="1993"/>
      <c r="AD75" s="1781"/>
      <c r="AE75" s="1992"/>
      <c r="AF75" s="1994"/>
      <c r="AG75" s="1781"/>
      <c r="AH75" s="1067"/>
      <c r="AI75" s="67"/>
      <c r="AJ75" s="889"/>
      <c r="AK75" s="889"/>
      <c r="AL75" s="1716"/>
    </row>
    <row r="76" spans="1:38" s="881" customFormat="1" ht="15" customHeight="1">
      <c r="A76" s="1064"/>
      <c r="B76" s="3110" t="s">
        <v>1403</v>
      </c>
      <c r="C76" s="107"/>
      <c r="D76" s="678">
        <f t="shared" si="12"/>
        <v>0</v>
      </c>
      <c r="E76" s="809"/>
      <c r="F76" s="678"/>
      <c r="G76" s="809"/>
      <c r="H76" s="678"/>
      <c r="I76" s="809"/>
      <c r="J76" s="678"/>
      <c r="K76" s="1529"/>
      <c r="L76" s="678"/>
      <c r="M76" s="1529"/>
      <c r="N76" s="678"/>
      <c r="O76" s="1529"/>
      <c r="P76" s="678"/>
      <c r="Q76" s="1990"/>
      <c r="R76" s="1781"/>
      <c r="S76" s="1990"/>
      <c r="T76" s="1781"/>
      <c r="U76" s="1990"/>
      <c r="V76" s="1781"/>
      <c r="W76" s="1990"/>
      <c r="X76" s="1781"/>
      <c r="Y76" s="1990"/>
      <c r="Z76" s="1781"/>
      <c r="AA76" s="1991"/>
      <c r="AB76" s="1992"/>
      <c r="AC76" s="1993"/>
      <c r="AD76" s="1781">
        <v>0</v>
      </c>
      <c r="AE76" s="1992"/>
      <c r="AF76" s="1994"/>
      <c r="AG76" s="1781">
        <v>0</v>
      </c>
      <c r="AH76" s="1067"/>
      <c r="AI76" s="67"/>
      <c r="AJ76" s="889">
        <f>ROUND(SUM(+AD76-AG76),1)</f>
        <v>0</v>
      </c>
      <c r="AK76" s="889"/>
      <c r="AL76" s="1716">
        <f>ROUND(IF(AG76=0,0,AJ76/ABS(AG76)),3)</f>
        <v>0</v>
      </c>
    </row>
    <row r="77" spans="1:38" s="881" customFormat="1" ht="15" customHeight="1">
      <c r="A77" s="1064"/>
      <c r="B77" s="107" t="s">
        <v>179</v>
      </c>
      <c r="C77" s="107"/>
      <c r="D77" s="678">
        <f t="shared" si="12"/>
        <v>0</v>
      </c>
      <c r="E77" s="809"/>
      <c r="F77" s="678"/>
      <c r="G77" s="809"/>
      <c r="H77" s="678"/>
      <c r="I77" s="809"/>
      <c r="J77" s="678"/>
      <c r="K77" s="1529"/>
      <c r="L77" s="678"/>
      <c r="M77" s="1529"/>
      <c r="N77" s="678"/>
      <c r="O77" s="1529"/>
      <c r="P77" s="678"/>
      <c r="Q77" s="1990"/>
      <c r="R77" s="1781"/>
      <c r="S77" s="1990"/>
      <c r="T77" s="1781"/>
      <c r="U77" s="1990"/>
      <c r="V77" s="1781"/>
      <c r="W77" s="1990"/>
      <c r="X77" s="1781"/>
      <c r="Y77" s="1990"/>
      <c r="Z77" s="1781"/>
      <c r="AA77" s="1991"/>
      <c r="AB77" s="1992"/>
      <c r="AC77" s="1993"/>
      <c r="AD77" s="1781">
        <v>0</v>
      </c>
      <c r="AE77" s="1992"/>
      <c r="AF77" s="1994"/>
      <c r="AG77" s="1781">
        <v>0</v>
      </c>
      <c r="AH77" s="1067"/>
      <c r="AI77" s="67"/>
      <c r="AJ77" s="889">
        <f>ROUND(SUM(+AD77-AG77),1)</f>
        <v>0</v>
      </c>
      <c r="AK77" s="1018"/>
      <c r="AL77" s="1804">
        <f>ROUND(IF(AG77=0,0,AJ77/ABS(AG77)),3)</f>
        <v>0</v>
      </c>
    </row>
    <row r="78" spans="1:38" ht="15" customHeight="1">
      <c r="A78" s="150"/>
      <c r="B78" s="31"/>
      <c r="C78" s="31"/>
      <c r="D78" s="1832"/>
      <c r="E78" s="809"/>
      <c r="F78" s="1036"/>
      <c r="G78" s="809"/>
      <c r="H78" s="682"/>
      <c r="I78" s="809"/>
      <c r="J78" s="682"/>
      <c r="K78" s="165"/>
      <c r="L78" s="88"/>
      <c r="M78" s="165"/>
      <c r="N78" s="88"/>
      <c r="O78" s="165"/>
      <c r="P78" s="1997"/>
      <c r="Q78" s="1456"/>
      <c r="R78" s="1997"/>
      <c r="S78" s="1456"/>
      <c r="T78" s="1997"/>
      <c r="U78" s="1456"/>
      <c r="V78" s="2043"/>
      <c r="W78" s="1987"/>
      <c r="X78" s="2043"/>
      <c r="Y78" s="1987"/>
      <c r="Z78" s="2043"/>
      <c r="AA78" s="1969"/>
      <c r="AB78" s="1983"/>
      <c r="AC78" s="1988"/>
      <c r="AD78" s="2043"/>
      <c r="AE78" s="1969"/>
      <c r="AF78" s="1989"/>
      <c r="AG78" s="2043"/>
      <c r="AH78" s="1067"/>
      <c r="AI78" s="67"/>
      <c r="AJ78" s="1036"/>
      <c r="AK78" s="1802"/>
      <c r="AL78" s="1441"/>
    </row>
    <row r="79" spans="1:38" ht="15" customHeight="1">
      <c r="A79" s="150"/>
      <c r="B79" s="29" t="s">
        <v>155</v>
      </c>
      <c r="C79" s="31"/>
      <c r="D79" s="916">
        <f>ROUND(SUM(D70:D77),1)</f>
        <v>4675.3999999999996</v>
      </c>
      <c r="E79" s="207"/>
      <c r="F79" s="112">
        <f>ROUND(SUM(F70:F77),1)</f>
        <v>0</v>
      </c>
      <c r="G79" s="207"/>
      <c r="H79" s="916">
        <f>ROUND(SUM(H70:H77),1)</f>
        <v>0</v>
      </c>
      <c r="I79" s="207"/>
      <c r="J79" s="916">
        <f>ROUND(SUM(J70:J77),1)</f>
        <v>0</v>
      </c>
      <c r="K79" s="207"/>
      <c r="L79" s="916">
        <f>ROUND(SUM(L70:L77),1)</f>
        <v>0</v>
      </c>
      <c r="M79" s="207"/>
      <c r="N79" s="916">
        <f>ROUND(SUM(N70:N77),1)</f>
        <v>0</v>
      </c>
      <c r="O79" s="207"/>
      <c r="P79" s="1454">
        <f>ROUND(SUM(P70:P77),1)</f>
        <v>0</v>
      </c>
      <c r="Q79" s="2002"/>
      <c r="R79" s="1454">
        <f>ROUND(SUM(R70:R77),1)</f>
        <v>0</v>
      </c>
      <c r="S79" s="2002"/>
      <c r="T79" s="1454">
        <f>ROUND(SUM(T70:T77),1)</f>
        <v>0</v>
      </c>
      <c r="U79" s="2002"/>
      <c r="V79" s="2042">
        <f>ROUND(SUM(V70:V77),1)</f>
        <v>0</v>
      </c>
      <c r="W79" s="2042"/>
      <c r="X79" s="2042">
        <f>ROUND(SUM(X70:X77),1)</f>
        <v>0</v>
      </c>
      <c r="Y79" s="2042"/>
      <c r="Z79" s="2042">
        <f>ROUND(SUM(Z70:Z77),1)</f>
        <v>0</v>
      </c>
      <c r="AA79" s="2042"/>
      <c r="AB79" s="2164"/>
      <c r="AC79" s="2165"/>
      <c r="AD79" s="2042">
        <f>ROUND(SUM(AD70:AD77),1)</f>
        <v>4675.3999999999996</v>
      </c>
      <c r="AE79" s="1455"/>
      <c r="AF79" s="3145"/>
      <c r="AG79" s="2042">
        <f>ROUND(SUM(AG70:AG77),1)</f>
        <v>5869.1</v>
      </c>
      <c r="AH79" s="1809"/>
      <c r="AI79" s="115"/>
      <c r="AJ79" s="120">
        <f>ROUND(SUM(AD79-AG79),1)</f>
        <v>-1193.7</v>
      </c>
      <c r="AK79" s="2168"/>
      <c r="AL79" s="2169">
        <f>ROUND(SUM((AD79-AG79)/ABS(AG79)),3)</f>
        <v>-0.20300000000000001</v>
      </c>
    </row>
    <row r="80" spans="1:38" ht="15" customHeight="1">
      <c r="A80" s="150"/>
      <c r="B80" s="31"/>
      <c r="C80" s="31"/>
      <c r="D80" s="1832"/>
      <c r="E80" s="809"/>
      <c r="F80" s="1036"/>
      <c r="G80" s="809"/>
      <c r="H80" s="682"/>
      <c r="I80" s="809"/>
      <c r="J80" s="682"/>
      <c r="K80" s="165"/>
      <c r="L80" s="88"/>
      <c r="M80" s="165"/>
      <c r="N80" s="88"/>
      <c r="O80" s="165"/>
      <c r="P80" s="1997"/>
      <c r="Q80" s="1456"/>
      <c r="R80" s="1997"/>
      <c r="S80" s="1456"/>
      <c r="T80" s="1997"/>
      <c r="U80" s="1456"/>
      <c r="V80" s="2043"/>
      <c r="W80" s="1987"/>
      <c r="X80" s="2043"/>
      <c r="Y80" s="1987"/>
      <c r="Z80" s="2043"/>
      <c r="AA80" s="1969"/>
      <c r="AB80" s="1983"/>
      <c r="AC80" s="1988"/>
      <c r="AD80" s="2043"/>
      <c r="AE80" s="1969"/>
      <c r="AF80" s="1989"/>
      <c r="AG80" s="2043"/>
      <c r="AH80" s="1067"/>
      <c r="AI80" s="1081"/>
      <c r="AJ80" s="678"/>
      <c r="AK80" s="1802"/>
      <c r="AL80" s="1803"/>
    </row>
    <row r="81" spans="1:51" ht="15" customHeight="1">
      <c r="A81" s="150"/>
      <c r="B81" s="29" t="s">
        <v>156</v>
      </c>
      <c r="C81" s="31"/>
      <c r="D81" s="809"/>
      <c r="E81" s="809"/>
      <c r="F81" s="889"/>
      <c r="G81" s="809"/>
      <c r="H81" s="1523"/>
      <c r="I81" s="809"/>
      <c r="J81" s="1523"/>
      <c r="K81" s="165"/>
      <c r="L81" s="66"/>
      <c r="M81" s="165"/>
      <c r="N81" s="66"/>
      <c r="O81" s="165"/>
      <c r="P81" s="1998"/>
      <c r="Q81" s="1456"/>
      <c r="R81" s="1998"/>
      <c r="S81" s="1456"/>
      <c r="T81" s="1998"/>
      <c r="U81" s="1456"/>
      <c r="V81" s="1987"/>
      <c r="W81" s="1987"/>
      <c r="X81" s="1987"/>
      <c r="Y81" s="1987"/>
      <c r="Z81" s="1987"/>
      <c r="AA81" s="1987"/>
      <c r="AB81" s="1983"/>
      <c r="AC81" s="1988"/>
      <c r="AD81" s="1969"/>
      <c r="AE81" s="3168"/>
      <c r="AF81" s="3172"/>
      <c r="AG81" s="1969"/>
      <c r="AH81" s="1067"/>
      <c r="AI81" s="2170"/>
      <c r="AJ81" s="678"/>
      <c r="AK81" s="1802"/>
      <c r="AL81" s="1803"/>
    </row>
    <row r="82" spans="1:51" ht="15" customHeight="1">
      <c r="A82" s="150"/>
      <c r="B82" s="29" t="s">
        <v>44</v>
      </c>
      <c r="C82" s="31"/>
      <c r="D82" s="916">
        <f>ROUND(SUM(D56-D79),1)</f>
        <v>2496.3000000000002</v>
      </c>
      <c r="E82" s="207"/>
      <c r="F82" s="112"/>
      <c r="G82" s="207"/>
      <c r="H82" s="916"/>
      <c r="I82" s="207"/>
      <c r="J82" s="916"/>
      <c r="K82" s="207"/>
      <c r="L82" s="916"/>
      <c r="M82" s="207"/>
      <c r="N82" s="916"/>
      <c r="O82" s="207"/>
      <c r="P82" s="1454"/>
      <c r="Q82" s="2002"/>
      <c r="R82" s="1454"/>
      <c r="S82" s="2002"/>
      <c r="T82" s="1454"/>
      <c r="U82" s="2002"/>
      <c r="V82" s="2042"/>
      <c r="W82" s="2042"/>
      <c r="X82" s="2042"/>
      <c r="Y82" s="2042"/>
      <c r="Z82" s="2042"/>
      <c r="AA82" s="2042"/>
      <c r="AB82" s="2164"/>
      <c r="AC82" s="2165"/>
      <c r="AD82" s="2042">
        <f>ROUND(SUM(AD56-AD79),1)</f>
        <v>2496.3000000000002</v>
      </c>
      <c r="AE82" s="1455"/>
      <c r="AF82" s="3145"/>
      <c r="AG82" s="2042">
        <f>ROUND(SUM(AG56-AG79),1)</f>
        <v>4923.6000000000004</v>
      </c>
      <c r="AH82" s="1809"/>
      <c r="AI82" s="115"/>
      <c r="AJ82" s="120">
        <f>ROUND(SUM(AD82-AG82),1)</f>
        <v>-2427.3000000000002</v>
      </c>
      <c r="AK82" s="2171"/>
      <c r="AL82" s="3545">
        <f>ROUND(SUM((AD82-AG82)/ABS(AG82)),3)</f>
        <v>-0.49299999999999999</v>
      </c>
    </row>
    <row r="83" spans="1:51" ht="15" customHeight="1">
      <c r="A83" s="150"/>
      <c r="B83" s="31"/>
      <c r="C83" s="31"/>
      <c r="D83" s="1832"/>
      <c r="E83" s="809"/>
      <c r="F83" s="1036"/>
      <c r="G83" s="809"/>
      <c r="H83" s="682"/>
      <c r="I83" s="809"/>
      <c r="J83" s="682"/>
      <c r="K83" s="165"/>
      <c r="L83" s="88"/>
      <c r="M83" s="165"/>
      <c r="N83" s="88"/>
      <c r="O83" s="165"/>
      <c r="P83" s="1997"/>
      <c r="Q83" s="1456"/>
      <c r="R83" s="1997"/>
      <c r="S83" s="1456"/>
      <c r="T83" s="1997"/>
      <c r="U83" s="1456"/>
      <c r="V83" s="2043"/>
      <c r="W83" s="1987"/>
      <c r="X83" s="2043"/>
      <c r="Y83" s="1987"/>
      <c r="Z83" s="2043"/>
      <c r="AA83" s="1969"/>
      <c r="AB83" s="1983"/>
      <c r="AC83" s="1988"/>
      <c r="AD83" s="2043"/>
      <c r="AE83" s="1969"/>
      <c r="AF83" s="1989"/>
      <c r="AG83" s="2043"/>
      <c r="AH83" s="1067"/>
      <c r="AI83" s="67"/>
      <c r="AJ83" s="678"/>
      <c r="AK83" s="1802"/>
      <c r="AL83" s="1803"/>
    </row>
    <row r="84" spans="1:51" ht="15" customHeight="1">
      <c r="A84" s="150"/>
      <c r="B84" s="29" t="s">
        <v>45</v>
      </c>
      <c r="C84" s="31"/>
      <c r="D84" s="809"/>
      <c r="E84" s="809"/>
      <c r="F84" s="889"/>
      <c r="G84" s="809"/>
      <c r="H84" s="1523"/>
      <c r="I84" s="809"/>
      <c r="J84" s="1523"/>
      <c r="K84" s="165"/>
      <c r="L84" s="66"/>
      <c r="M84" s="165"/>
      <c r="N84" s="66"/>
      <c r="O84" s="165"/>
      <c r="P84" s="1998"/>
      <c r="Q84" s="1456"/>
      <c r="R84" s="1998"/>
      <c r="S84" s="1456"/>
      <c r="T84" s="1998"/>
      <c r="U84" s="1456"/>
      <c r="V84" s="1987"/>
      <c r="W84" s="1987"/>
      <c r="X84" s="1987"/>
      <c r="Y84" s="1987"/>
      <c r="Z84" s="1987"/>
      <c r="AA84" s="1987"/>
      <c r="AB84" s="1983"/>
      <c r="AC84" s="1988"/>
      <c r="AD84" s="1987"/>
      <c r="AE84" s="1969"/>
      <c r="AF84" s="1989"/>
      <c r="AG84" s="1987"/>
      <c r="AH84" s="1067"/>
      <c r="AI84" s="67"/>
      <c r="AJ84" s="678"/>
      <c r="AK84" s="1802"/>
      <c r="AL84" s="1803"/>
    </row>
    <row r="85" spans="1:51" s="881" customFormat="1" ht="15" customHeight="1">
      <c r="A85" s="1064"/>
      <c r="B85" s="107" t="s">
        <v>180</v>
      </c>
      <c r="C85" s="107"/>
      <c r="D85" s="678">
        <f t="shared" ref="D85:D86" si="13">$AD85</f>
        <v>0</v>
      </c>
      <c r="E85" s="809"/>
      <c r="F85" s="678"/>
      <c r="G85" s="809"/>
      <c r="H85" s="678"/>
      <c r="I85" s="809"/>
      <c r="J85" s="678"/>
      <c r="K85" s="1529"/>
      <c r="L85" s="678"/>
      <c r="M85" s="1529"/>
      <c r="N85" s="678"/>
      <c r="O85" s="1529"/>
      <c r="P85" s="678"/>
      <c r="Q85" s="1990"/>
      <c r="R85" s="1781"/>
      <c r="S85" s="1990"/>
      <c r="T85" s="1781"/>
      <c r="U85" s="1990"/>
      <c r="V85" s="1781"/>
      <c r="W85" s="1990"/>
      <c r="X85" s="1781"/>
      <c r="Y85" s="1990"/>
      <c r="Z85" s="1781"/>
      <c r="AA85" s="1991"/>
      <c r="AB85" s="1992"/>
      <c r="AC85" s="1993"/>
      <c r="AD85" s="1781">
        <v>0</v>
      </c>
      <c r="AE85" s="1992"/>
      <c r="AF85" s="1994"/>
      <c r="AG85" s="1781">
        <v>0</v>
      </c>
      <c r="AH85" s="1067"/>
      <c r="AI85" s="67"/>
      <c r="AJ85" s="1532">
        <f>ROUND(SUM(+AD85-AG85),1)</f>
        <v>0</v>
      </c>
      <c r="AK85" s="1018"/>
      <c r="AL85" s="1716">
        <f>-ROUND(IF(AG85=0,0,AJ85/ABS(AG85)),3)</f>
        <v>0</v>
      </c>
    </row>
    <row r="86" spans="1:51" s="881" customFormat="1" ht="15" customHeight="1">
      <c r="A86" s="1064"/>
      <c r="B86" s="107" t="s">
        <v>181</v>
      </c>
      <c r="C86" s="107"/>
      <c r="D86" s="678">
        <f t="shared" si="13"/>
        <v>-156.4</v>
      </c>
      <c r="E86" s="809"/>
      <c r="F86" s="678"/>
      <c r="G86" s="809"/>
      <c r="H86" s="678"/>
      <c r="I86" s="809"/>
      <c r="J86" s="678"/>
      <c r="K86" s="1529"/>
      <c r="L86" s="678"/>
      <c r="M86" s="1529"/>
      <c r="N86" s="678"/>
      <c r="O86" s="1529"/>
      <c r="P86" s="678"/>
      <c r="Q86" s="1990"/>
      <c r="R86" s="1781"/>
      <c r="S86" s="1990"/>
      <c r="T86" s="1781"/>
      <c r="U86" s="1990"/>
      <c r="V86" s="1781"/>
      <c r="W86" s="1990"/>
      <c r="X86" s="1781"/>
      <c r="Y86" s="1990"/>
      <c r="Z86" s="1781"/>
      <c r="AA86" s="1991"/>
      <c r="AB86" s="1992"/>
      <c r="AC86" s="1993"/>
      <c r="AD86" s="1781">
        <v>-156.4</v>
      </c>
      <c r="AE86" s="1992"/>
      <c r="AF86" s="1994"/>
      <c r="AG86" s="3410">
        <v>-307.2</v>
      </c>
      <c r="AH86" s="1067"/>
      <c r="AI86" s="67"/>
      <c r="AJ86" s="1018">
        <f>ROUND(SUM(+AD86-AG86)*-1,1)</f>
        <v>-150.80000000000001</v>
      </c>
      <c r="AK86" s="1018"/>
      <c r="AL86" s="1716">
        <f>ROUND(IF(AG86=0,0,AJ86/ABS(AG86)),3)</f>
        <v>-0.49099999999999999</v>
      </c>
    </row>
    <row r="87" spans="1:51" ht="15" customHeight="1">
      <c r="A87" s="150"/>
      <c r="B87" s="31"/>
      <c r="C87" s="31"/>
      <c r="D87" s="168"/>
      <c r="E87" s="165"/>
      <c r="F87" s="126"/>
      <c r="G87" s="165"/>
      <c r="H87" s="88"/>
      <c r="I87" s="165"/>
      <c r="J87" s="88"/>
      <c r="K87" s="165"/>
      <c r="L87" s="3027"/>
      <c r="M87" s="165"/>
      <c r="N87" s="88"/>
      <c r="O87" s="165"/>
      <c r="P87" s="1997"/>
      <c r="Q87" s="1456"/>
      <c r="R87" s="1997"/>
      <c r="S87" s="1456"/>
      <c r="T87" s="1997"/>
      <c r="U87" s="1456"/>
      <c r="V87" s="2043"/>
      <c r="W87" s="1987"/>
      <c r="X87" s="2043"/>
      <c r="Y87" s="1987"/>
      <c r="Z87" s="2043"/>
      <c r="AA87" s="1969"/>
      <c r="AB87" s="1983"/>
      <c r="AC87" s="1988"/>
      <c r="AD87" s="2043"/>
      <c r="AE87" s="1969"/>
      <c r="AF87" s="1989"/>
      <c r="AG87" s="1969"/>
      <c r="AH87" s="1067"/>
      <c r="AI87" s="67"/>
      <c r="AJ87" s="2172"/>
      <c r="AK87" s="1802"/>
      <c r="AL87" s="2173"/>
    </row>
    <row r="88" spans="1:51" ht="15" customHeight="1">
      <c r="A88" s="150"/>
      <c r="B88" s="29" t="s">
        <v>1093</v>
      </c>
      <c r="C88" s="31"/>
      <c r="D88" s="62">
        <f>ROUND(SUM(D85:D87),1)</f>
        <v>-156.4</v>
      </c>
      <c r="E88" s="207"/>
      <c r="F88" s="112">
        <f>ROUND(SUM(F85:F87),1)</f>
        <v>0</v>
      </c>
      <c r="G88" s="207"/>
      <c r="H88" s="62">
        <f>ROUND(SUM(H85:H87),1)</f>
        <v>0</v>
      </c>
      <c r="I88" s="207"/>
      <c r="J88" s="62">
        <f>ROUND(SUM(J85:J87),1)</f>
        <v>0</v>
      </c>
      <c r="K88" s="207"/>
      <c r="L88" s="916">
        <f>ROUND(SUM(L85:L87),1)</f>
        <v>0</v>
      </c>
      <c r="M88" s="207"/>
      <c r="N88" s="62">
        <f>ROUND(SUM(N85:N87),1)</f>
        <v>0</v>
      </c>
      <c r="O88" s="207"/>
      <c r="P88" s="1454">
        <f>ROUND(SUM(P85:P87),1)</f>
        <v>0</v>
      </c>
      <c r="Q88" s="2002"/>
      <c r="R88" s="1454">
        <f>ROUND(SUM(R85:R87),1)</f>
        <v>0</v>
      </c>
      <c r="S88" s="2002"/>
      <c r="T88" s="1454">
        <f>ROUND(SUM(T85:T87),1)</f>
        <v>0</v>
      </c>
      <c r="U88" s="2002"/>
      <c r="V88" s="2042">
        <f>ROUND(SUM(V85:V87),1)</f>
        <v>0</v>
      </c>
      <c r="W88" s="2042"/>
      <c r="X88" s="2042">
        <f>ROUND(SUM(X85:X87),1)</f>
        <v>0</v>
      </c>
      <c r="Y88" s="2042"/>
      <c r="Z88" s="2042">
        <f>ROUND(SUM(Z85:Z87),1)</f>
        <v>0</v>
      </c>
      <c r="AA88" s="2042"/>
      <c r="AB88" s="2164"/>
      <c r="AC88" s="2165"/>
      <c r="AD88" s="2042">
        <f>ROUND(SUM(AD85:AD87),1)</f>
        <v>-156.4</v>
      </c>
      <c r="AE88" s="1455"/>
      <c r="AF88" s="3145"/>
      <c r="AG88" s="2042">
        <f>ROUND(SUM(AG85:AG86),1)</f>
        <v>-307.2</v>
      </c>
      <c r="AH88" s="1809"/>
      <c r="AI88" s="115"/>
      <c r="AJ88" s="120">
        <f>-ROUND(SUM(AD88-AG88),1)</f>
        <v>-150.80000000000001</v>
      </c>
      <c r="AK88" s="2166"/>
      <c r="AL88" s="2169">
        <f>ROUND(SUM((AD88-AG88)/(AG88)),3)</f>
        <v>-0.49099999999999999</v>
      </c>
    </row>
    <row r="89" spans="1:51" ht="15" customHeight="1">
      <c r="A89" s="150"/>
      <c r="B89" s="31"/>
      <c r="C89" s="31"/>
      <c r="D89" s="168"/>
      <c r="E89" s="165"/>
      <c r="F89" s="3700"/>
      <c r="G89" s="165"/>
      <c r="H89" s="168"/>
      <c r="I89" s="165"/>
      <c r="J89" s="168"/>
      <c r="K89" s="165"/>
      <c r="L89" s="168"/>
      <c r="M89" s="165"/>
      <c r="N89" s="168"/>
      <c r="O89" s="165"/>
      <c r="P89" s="1460"/>
      <c r="Q89" s="1456"/>
      <c r="R89" s="1460"/>
      <c r="S89" s="1456"/>
      <c r="T89" s="1460"/>
      <c r="U89" s="1456"/>
      <c r="V89" s="2043"/>
      <c r="W89" s="1987"/>
      <c r="X89" s="2043"/>
      <c r="Y89" s="1987"/>
      <c r="Z89" s="2043"/>
      <c r="AA89" s="1969"/>
      <c r="AB89" s="1983"/>
      <c r="AC89" s="1988"/>
      <c r="AD89" s="2043"/>
      <c r="AE89" s="1969"/>
      <c r="AF89" s="1989"/>
      <c r="AG89" s="2043"/>
      <c r="AH89" s="1067"/>
      <c r="AI89" s="67"/>
      <c r="AJ89" s="678"/>
      <c r="AK89" s="1802"/>
      <c r="AL89" s="1803"/>
    </row>
    <row r="90" spans="1:51" ht="15" customHeight="1">
      <c r="A90" s="150"/>
      <c r="B90" s="29" t="s">
        <v>164</v>
      </c>
      <c r="C90" s="31"/>
      <c r="D90" s="165"/>
      <c r="E90" s="165"/>
      <c r="F90" s="140"/>
      <c r="G90" s="165"/>
      <c r="H90" s="165"/>
      <c r="I90" s="165"/>
      <c r="J90" s="165"/>
      <c r="K90" s="165"/>
      <c r="L90" s="165"/>
      <c r="M90" s="165"/>
      <c r="N90" s="165"/>
      <c r="O90" s="165"/>
      <c r="P90" s="1456"/>
      <c r="Q90" s="1456"/>
      <c r="R90" s="1456"/>
      <c r="S90" s="1456"/>
      <c r="T90" s="1456"/>
      <c r="U90" s="1456"/>
      <c r="V90" s="1983"/>
      <c r="W90" s="1983"/>
      <c r="X90" s="1983"/>
      <c r="Y90" s="1983"/>
      <c r="Z90" s="1983"/>
      <c r="AA90" s="1983"/>
      <c r="AB90" s="1983"/>
      <c r="AC90" s="1988"/>
      <c r="AD90" s="1983"/>
      <c r="AE90" s="2010"/>
      <c r="AF90" s="3171"/>
      <c r="AG90" s="1983"/>
      <c r="AH90" s="1801"/>
      <c r="AI90" s="1083"/>
      <c r="AJ90" s="1802"/>
      <c r="AK90" s="1802"/>
      <c r="AL90" s="1803"/>
    </row>
    <row r="91" spans="1:51" ht="15" customHeight="1">
      <c r="A91" s="150"/>
      <c r="B91" s="29" t="s">
        <v>165</v>
      </c>
      <c r="C91" s="31"/>
      <c r="D91" s="165"/>
      <c r="E91" s="165"/>
      <c r="F91" s="140"/>
      <c r="G91" s="165"/>
      <c r="H91" s="165"/>
      <c r="I91" s="165"/>
      <c r="J91" s="165"/>
      <c r="K91" s="165"/>
      <c r="L91" s="165"/>
      <c r="M91" s="165"/>
      <c r="N91" s="165"/>
      <c r="O91" s="165"/>
      <c r="P91" s="1456"/>
      <c r="Q91" s="1456"/>
      <c r="R91" s="1456"/>
      <c r="S91" s="1456"/>
      <c r="T91" s="1456"/>
      <c r="U91" s="1456"/>
      <c r="V91" s="1983"/>
      <c r="W91" s="1983"/>
      <c r="X91" s="1983"/>
      <c r="Y91" s="1983"/>
      <c r="Z91" s="1983"/>
      <c r="AA91" s="1983"/>
      <c r="AB91" s="1983"/>
      <c r="AC91" s="1988"/>
      <c r="AD91" s="1983"/>
      <c r="AE91" s="2010"/>
      <c r="AF91" s="3171"/>
      <c r="AG91" s="3458"/>
      <c r="AH91" s="1801"/>
      <c r="AI91" s="1083"/>
      <c r="AJ91" s="1802"/>
      <c r="AK91" s="1802"/>
      <c r="AL91" s="1803"/>
    </row>
    <row r="92" spans="1:51" ht="15" customHeight="1">
      <c r="A92" s="150"/>
      <c r="B92" s="29" t="s">
        <v>1094</v>
      </c>
      <c r="C92" s="31"/>
      <c r="D92" s="823">
        <f>ROUND(SUM(D82+D88),1)</f>
        <v>2339.9</v>
      </c>
      <c r="E92" s="165"/>
      <c r="F92" s="3701">
        <f>ROUND(SUM(F82+F88),1)</f>
        <v>0</v>
      </c>
      <c r="G92" s="165"/>
      <c r="H92" s="823">
        <f>ROUND(SUM(H82+H88),1)</f>
        <v>0</v>
      </c>
      <c r="I92" s="56"/>
      <c r="J92" s="823">
        <f>ROUND(SUM(J82+J88),1)</f>
        <v>0</v>
      </c>
      <c r="K92" s="56"/>
      <c r="L92" s="823">
        <f>ROUND(SUM(L82+L88),1)</f>
        <v>0</v>
      </c>
      <c r="M92" s="56"/>
      <c r="N92" s="823">
        <f>ROUND(SUM(N82+N88),1)</f>
        <v>0</v>
      </c>
      <c r="O92" s="56"/>
      <c r="P92" s="2012">
        <f>ROUND(SUM(P82+P88),1)</f>
        <v>0</v>
      </c>
      <c r="Q92" s="1999"/>
      <c r="R92" s="2012">
        <f>ROUND(SUM(R82+R88),1)</f>
        <v>0</v>
      </c>
      <c r="S92" s="1999"/>
      <c r="T92" s="2012">
        <f>ROUND(SUM(T82+T88),1)</f>
        <v>0</v>
      </c>
      <c r="U92" s="1999"/>
      <c r="V92" s="1552">
        <f>ROUND(SUM(V82+V88),1)</f>
        <v>0</v>
      </c>
      <c r="W92" s="1969"/>
      <c r="X92" s="1552">
        <f>ROUND(SUM(X82+X88),1)</f>
        <v>0</v>
      </c>
      <c r="Y92" s="1969"/>
      <c r="Z92" s="1552">
        <f>ROUND(SUM(Z82+Z88),1)</f>
        <v>0</v>
      </c>
      <c r="AA92" s="1969"/>
      <c r="AB92" s="2174"/>
      <c r="AC92" s="1969"/>
      <c r="AD92" s="1552">
        <f>ROUND(SUM(AD82+AD88),1)</f>
        <v>2339.9</v>
      </c>
      <c r="AE92" s="3169"/>
      <c r="AF92" s="1969"/>
      <c r="AG92" s="1552">
        <f>ROUND(SUM(AG82+AG88),1)</f>
        <v>4616.3999999999996</v>
      </c>
      <c r="AH92" s="1801"/>
      <c r="AI92" s="67"/>
      <c r="AJ92" s="1101">
        <f>ROUND(SUM(AJ82-AJ88),1)</f>
        <v>-2276.5</v>
      </c>
      <c r="AK92" s="1025"/>
      <c r="AL92" s="2175">
        <f>ROUND(SUM((AD92-AG92)/ABS(AG92)),3)</f>
        <v>-0.49299999999999999</v>
      </c>
    </row>
    <row r="93" spans="1:51" ht="15" customHeight="1">
      <c r="A93" s="150"/>
      <c r="B93" s="31"/>
      <c r="C93" s="31"/>
      <c r="D93" s="37"/>
      <c r="E93" s="30"/>
      <c r="F93" s="1083"/>
      <c r="G93" s="30"/>
      <c r="H93" s="37"/>
      <c r="I93" s="30"/>
      <c r="J93" s="37"/>
      <c r="K93" s="30"/>
      <c r="L93" s="37"/>
      <c r="M93" s="30"/>
      <c r="N93" s="37"/>
      <c r="O93" s="30"/>
      <c r="P93" s="2013"/>
      <c r="Q93" s="2014"/>
      <c r="R93" s="2013"/>
      <c r="S93" s="2014"/>
      <c r="T93" s="2011"/>
      <c r="U93" s="2014"/>
      <c r="V93" s="2176"/>
      <c r="W93" s="2177"/>
      <c r="X93" s="2176"/>
      <c r="Y93" s="2177"/>
      <c r="Z93" s="2176"/>
      <c r="AA93" s="2176"/>
      <c r="AB93" s="2177"/>
      <c r="AC93" s="2178"/>
      <c r="AD93" s="2176"/>
      <c r="AE93" s="2176"/>
      <c r="AF93" s="2178"/>
      <c r="AG93" s="2176"/>
      <c r="AH93" s="1083"/>
      <c r="AI93" s="2179"/>
      <c r="AJ93" s="2180"/>
      <c r="AK93" s="1802"/>
      <c r="AL93" s="1803" t="s">
        <v>14</v>
      </c>
    </row>
    <row r="94" spans="1:51" ht="20.25" customHeight="1" thickBot="1">
      <c r="A94" s="150"/>
      <c r="B94" s="29" t="s">
        <v>1104</v>
      </c>
      <c r="C94" s="31"/>
      <c r="D94" s="1852">
        <f>ROUND(SUM(+D13+D92),1)</f>
        <v>7300.6</v>
      </c>
      <c r="E94" s="30"/>
      <c r="F94" s="1842">
        <f>ROUND(SUM(+F13+F92),1)</f>
        <v>0</v>
      </c>
      <c r="G94" s="30"/>
      <c r="H94" s="1852">
        <f>ROUND(SUM(+H13+H92),1)</f>
        <v>0</v>
      </c>
      <c r="I94" s="30"/>
      <c r="J94" s="1852">
        <f>ROUND(SUM(+J13+J92),1)</f>
        <v>0</v>
      </c>
      <c r="K94" s="30"/>
      <c r="L94" s="1852">
        <f>ROUND(SUM(+L13+L92),1)</f>
        <v>0</v>
      </c>
      <c r="M94" s="30"/>
      <c r="N94" s="1852">
        <f>ROUND(SUM(+N13+N92),1)</f>
        <v>0</v>
      </c>
      <c r="O94" s="30"/>
      <c r="P94" s="2015">
        <f>ROUND(SUM(+P13+P92),1)</f>
        <v>0</v>
      </c>
      <c r="Q94" s="2014"/>
      <c r="R94" s="2015">
        <f>ROUND(SUM(+R13+R92),1)</f>
        <v>0</v>
      </c>
      <c r="S94" s="2014"/>
      <c r="T94" s="2015">
        <f>ROUND(SUM(+T13+T92),1)</f>
        <v>0</v>
      </c>
      <c r="U94" s="2014"/>
      <c r="V94" s="2181">
        <f>ROUND(SUM(+V13+V92),1)</f>
        <v>0</v>
      </c>
      <c r="W94" s="2177"/>
      <c r="X94" s="2181">
        <f>ROUND(SUM(+X13+X92),1)</f>
        <v>0</v>
      </c>
      <c r="Y94" s="2177"/>
      <c r="Z94" s="2181">
        <f>ROUND(SUM(+Z13+Z92),1)</f>
        <v>0</v>
      </c>
      <c r="AA94" s="2176"/>
      <c r="AB94" s="2177"/>
      <c r="AC94" s="2178"/>
      <c r="AD94" s="2181">
        <f>ROUND(SUM(+AD13+AD92),1)</f>
        <v>7300.6</v>
      </c>
      <c r="AE94" s="2176"/>
      <c r="AF94" s="2178"/>
      <c r="AG94" s="2181">
        <f>ROUND(SUM(+AG13+AG92),1)</f>
        <v>5527.8</v>
      </c>
      <c r="AH94" s="1083"/>
      <c r="AI94" s="2179"/>
      <c r="AJ94" s="1842">
        <f>ROUND(SUM(+AJ13+AJ92),1)</f>
        <v>1772.8</v>
      </c>
      <c r="AK94" s="1802"/>
      <c r="AL94" s="2182">
        <f>ROUND(+AJ94/ABS(AG94),3)</f>
        <v>0.32100000000000001</v>
      </c>
    </row>
    <row r="95" spans="1:51" ht="15" customHeight="1" thickTop="1">
      <c r="B95" s="30"/>
      <c r="C95" s="30"/>
      <c r="D95" s="268"/>
      <c r="E95" s="268"/>
      <c r="F95" s="2113"/>
      <c r="G95" s="268"/>
      <c r="H95" s="268"/>
      <c r="I95" s="268"/>
      <c r="J95" s="268"/>
      <c r="K95" s="268"/>
      <c r="L95" s="268"/>
      <c r="M95" s="268"/>
      <c r="N95" s="268"/>
      <c r="O95" s="268"/>
      <c r="P95" s="2016"/>
      <c r="Q95" s="2016"/>
      <c r="R95" s="2016"/>
      <c r="S95" s="2016"/>
      <c r="T95" s="2016"/>
      <c r="U95" s="2016"/>
      <c r="V95" s="2183"/>
      <c r="W95" s="2183"/>
      <c r="X95" s="2183"/>
      <c r="Y95" s="2183"/>
      <c r="Z95" s="2183"/>
      <c r="AA95" s="2183"/>
      <c r="AB95" s="2183"/>
      <c r="AC95" s="2183"/>
      <c r="AD95" s="2183"/>
      <c r="AE95" s="2183"/>
      <c r="AF95" s="2183"/>
      <c r="AG95" s="2183"/>
      <c r="AH95" s="2113"/>
      <c r="AI95" s="2113"/>
      <c r="AJ95" s="1015"/>
      <c r="AK95" s="1015"/>
      <c r="AL95" s="1810"/>
      <c r="AM95" s="295"/>
      <c r="AN95" s="295"/>
      <c r="AO95" s="295"/>
      <c r="AP95" s="295"/>
      <c r="AQ95" s="295"/>
      <c r="AR95" s="295"/>
      <c r="AS95" s="295"/>
      <c r="AT95" s="295"/>
      <c r="AU95" s="295"/>
      <c r="AV95" s="295"/>
      <c r="AW95" s="295"/>
      <c r="AX95" s="295"/>
      <c r="AY95" s="295"/>
    </row>
    <row r="96" spans="1:51" ht="15" customHeight="1">
      <c r="B96" s="914"/>
      <c r="C96" s="30"/>
      <c r="D96" s="30"/>
      <c r="E96" s="30"/>
      <c r="F96" s="30"/>
      <c r="G96" s="30"/>
      <c r="H96" s="30"/>
      <c r="I96" s="30"/>
      <c r="J96" s="30"/>
      <c r="K96" s="30"/>
      <c r="L96" s="30"/>
      <c r="M96" s="30"/>
      <c r="N96" s="30"/>
      <c r="O96" s="30"/>
      <c r="P96" s="2014"/>
      <c r="Q96" s="2014"/>
      <c r="R96" s="2014"/>
      <c r="S96" s="2014"/>
      <c r="T96" s="2014"/>
      <c r="U96" s="2014"/>
      <c r="V96" s="2177"/>
      <c r="W96" s="2177"/>
      <c r="X96" s="2177"/>
      <c r="Y96" s="2177"/>
      <c r="Z96" s="2177"/>
      <c r="AA96" s="2177"/>
      <c r="AB96" s="2177"/>
      <c r="AC96" s="2177"/>
      <c r="AD96" s="2177"/>
      <c r="AE96" s="2177"/>
      <c r="AF96" s="2177"/>
      <c r="AG96" s="2177"/>
      <c r="AH96" s="106"/>
      <c r="AI96" s="106"/>
      <c r="AJ96" s="882"/>
      <c r="AK96" s="882"/>
      <c r="AL96" s="1810"/>
    </row>
    <row r="97" spans="2:38" ht="15" customHeight="1">
      <c r="B97" s="30"/>
      <c r="P97" s="2017"/>
      <c r="Q97" s="2017"/>
      <c r="R97" s="2017"/>
      <c r="S97" s="2017"/>
      <c r="T97" s="2017"/>
      <c r="U97" s="2017"/>
      <c r="V97" s="2184"/>
      <c r="W97" s="2184"/>
      <c r="X97" s="2184"/>
      <c r="Y97" s="2184"/>
      <c r="Z97" s="2184"/>
      <c r="AA97" s="2184"/>
      <c r="AB97" s="2184"/>
      <c r="AC97" s="2184"/>
      <c r="AD97" s="2184"/>
      <c r="AE97" s="2184"/>
      <c r="AF97" s="2184"/>
      <c r="AG97" s="2184"/>
      <c r="AH97" s="881"/>
      <c r="AI97" s="881"/>
      <c r="AJ97" s="881"/>
      <c r="AK97" s="881"/>
      <c r="AL97" s="2185"/>
    </row>
    <row r="98" spans="2:38" ht="15" customHeight="1">
      <c r="B98" s="30"/>
      <c r="P98" s="2017"/>
      <c r="Q98" s="2017"/>
      <c r="R98" s="2017"/>
      <c r="S98" s="2017"/>
      <c r="T98" s="2017"/>
      <c r="U98" s="2017"/>
      <c r="V98" s="2184"/>
      <c r="W98" s="2184"/>
      <c r="X98" s="2184"/>
      <c r="Y98" s="2184"/>
      <c r="Z98" s="2184"/>
      <c r="AA98" s="2184"/>
      <c r="AB98" s="2184"/>
      <c r="AC98" s="2184"/>
      <c r="AD98" s="2184"/>
      <c r="AE98" s="2184"/>
      <c r="AF98" s="2184"/>
      <c r="AG98" s="2184"/>
      <c r="AH98" s="881"/>
      <c r="AI98" s="881"/>
      <c r="AJ98" s="881"/>
      <c r="AK98" s="881"/>
      <c r="AL98" s="2185"/>
    </row>
    <row r="99" spans="2:38" ht="15" customHeight="1">
      <c r="P99" s="2017"/>
      <c r="Q99" s="2017"/>
      <c r="R99" s="2017"/>
      <c r="S99" s="2017"/>
      <c r="T99" s="2017"/>
      <c r="U99" s="2017"/>
      <c r="V99" s="2184"/>
      <c r="W99" s="2184"/>
      <c r="X99" s="2184"/>
      <c r="Y99" s="2184"/>
      <c r="Z99" s="2184"/>
      <c r="AA99" s="2184"/>
      <c r="AB99" s="2184"/>
      <c r="AC99" s="2184"/>
      <c r="AD99" s="2184"/>
      <c r="AE99" s="2184"/>
      <c r="AF99" s="2184"/>
      <c r="AG99" s="2184"/>
      <c r="AH99" s="881"/>
      <c r="AI99" s="881"/>
      <c r="AJ99" s="881"/>
      <c r="AK99" s="881"/>
      <c r="AL99" s="2185"/>
    </row>
    <row r="100" spans="2:38" ht="15" customHeight="1">
      <c r="P100" s="2017"/>
      <c r="Q100" s="2017"/>
      <c r="R100" s="2017"/>
      <c r="S100" s="2017"/>
      <c r="T100" s="2017"/>
      <c r="U100" s="2017"/>
      <c r="V100" s="2184"/>
      <c r="W100" s="2184"/>
      <c r="X100" s="2184"/>
      <c r="Y100" s="2184"/>
      <c r="Z100" s="2184"/>
      <c r="AA100" s="2184"/>
      <c r="AB100" s="2184"/>
      <c r="AC100" s="2184"/>
      <c r="AD100" s="2184"/>
      <c r="AE100" s="2184"/>
      <c r="AF100" s="2184"/>
      <c r="AG100" s="2184"/>
      <c r="AH100" s="881"/>
      <c r="AI100" s="881"/>
      <c r="AJ100" s="881"/>
      <c r="AK100" s="881"/>
      <c r="AL100" s="2185"/>
    </row>
    <row r="101" spans="2:38" ht="15" customHeight="1">
      <c r="P101" s="2017"/>
      <c r="Q101" s="2017"/>
      <c r="R101" s="2017"/>
      <c r="S101" s="2017"/>
      <c r="T101" s="2017"/>
      <c r="U101" s="2017"/>
      <c r="V101" s="2184"/>
      <c r="W101" s="2184"/>
      <c r="X101" s="2184"/>
      <c r="Y101" s="2184"/>
      <c r="Z101" s="2184"/>
      <c r="AA101" s="2184"/>
      <c r="AB101" s="2184"/>
      <c r="AC101" s="2184"/>
      <c r="AD101" s="2184"/>
      <c r="AE101" s="2184"/>
      <c r="AF101" s="2184"/>
      <c r="AG101" s="2184"/>
      <c r="AH101" s="881"/>
      <c r="AI101" s="881"/>
      <c r="AJ101" s="881"/>
      <c r="AK101" s="881"/>
      <c r="AL101" s="2185"/>
    </row>
    <row r="102" spans="2:38" ht="15" customHeight="1">
      <c r="V102" s="881"/>
      <c r="W102" s="881"/>
      <c r="X102" s="881"/>
      <c r="Y102" s="881"/>
      <c r="Z102" s="881"/>
      <c r="AA102" s="881"/>
      <c r="AB102" s="881"/>
      <c r="AC102" s="881"/>
      <c r="AH102" s="881"/>
      <c r="AI102" s="881"/>
      <c r="AJ102" s="881"/>
      <c r="AK102" s="881"/>
      <c r="AL102" s="2185"/>
    </row>
    <row r="103" spans="2:38" ht="15" customHeight="1">
      <c r="V103" s="881"/>
      <c r="W103" s="881"/>
      <c r="X103" s="881"/>
      <c r="Y103" s="881"/>
      <c r="Z103" s="881"/>
      <c r="AA103" s="881"/>
      <c r="AB103" s="881"/>
      <c r="AC103" s="881"/>
      <c r="AH103" s="881"/>
      <c r="AI103" s="881"/>
      <c r="AJ103" s="881"/>
      <c r="AK103" s="881"/>
      <c r="AL103" s="2185"/>
    </row>
    <row r="104" spans="2:38" ht="15" customHeight="1">
      <c r="V104" s="881"/>
      <c r="W104" s="881"/>
      <c r="X104" s="881"/>
      <c r="Y104" s="881"/>
      <c r="Z104" s="881"/>
      <c r="AA104" s="881"/>
      <c r="AB104" s="881"/>
      <c r="AC104" s="881"/>
      <c r="AH104" s="881"/>
      <c r="AI104" s="881"/>
      <c r="AJ104" s="881"/>
      <c r="AK104" s="881"/>
      <c r="AL104" s="2185"/>
    </row>
    <row r="105" spans="2:38" ht="15" customHeight="1">
      <c r="V105" s="881"/>
      <c r="W105" s="881"/>
      <c r="X105" s="881"/>
      <c r="Y105" s="881"/>
      <c r="Z105" s="881"/>
      <c r="AA105" s="881"/>
      <c r="AB105" s="881"/>
      <c r="AC105" s="881"/>
      <c r="AH105" s="881"/>
      <c r="AI105" s="881"/>
      <c r="AJ105" s="881"/>
      <c r="AK105" s="881"/>
      <c r="AL105" s="2185"/>
    </row>
    <row r="106" spans="2:38" ht="15" customHeight="1">
      <c r="V106" s="881"/>
      <c r="W106" s="881"/>
      <c r="X106" s="881"/>
      <c r="Y106" s="881"/>
      <c r="Z106" s="881"/>
      <c r="AA106" s="881"/>
      <c r="AB106" s="881"/>
      <c r="AC106" s="881"/>
      <c r="AH106" s="881"/>
      <c r="AI106" s="881"/>
      <c r="AJ106" s="881"/>
      <c r="AK106" s="881"/>
      <c r="AL106" s="2185"/>
    </row>
    <row r="107" spans="2:38" ht="15" customHeight="1">
      <c r="AL107" s="1442"/>
    </row>
    <row r="108" spans="2:38" ht="15" customHeight="1">
      <c r="AL108" s="1442"/>
    </row>
    <row r="109" spans="2:38" ht="15" customHeight="1">
      <c r="AL109" s="1442"/>
    </row>
    <row r="110" spans="2:38" ht="15" customHeight="1">
      <c r="AL110" s="1442"/>
    </row>
    <row r="111" spans="2:38" ht="15" customHeight="1">
      <c r="AL111" s="1442"/>
    </row>
    <row r="112" spans="2:38" ht="15" customHeight="1">
      <c r="AL112" s="1442"/>
    </row>
    <row r="113" spans="38:38" ht="15" customHeight="1">
      <c r="AL113" s="1442"/>
    </row>
    <row r="114" spans="38:38" ht="15" customHeight="1">
      <c r="AL114" s="1442"/>
    </row>
    <row r="115" spans="38:38" ht="15" customHeight="1">
      <c r="AL115" s="1442"/>
    </row>
    <row r="116" spans="38:38" ht="15" customHeight="1">
      <c r="AL116" s="1442"/>
    </row>
    <row r="117" spans="38:38" ht="15" customHeight="1">
      <c r="AL117" s="1442"/>
    </row>
    <row r="118" spans="38:38" ht="15" customHeight="1">
      <c r="AL118" s="1442"/>
    </row>
    <row r="119" spans="38:38" ht="15" customHeight="1">
      <c r="AL119" s="1442"/>
    </row>
    <row r="120" spans="38:38" ht="15" customHeight="1">
      <c r="AL120" s="1442"/>
    </row>
    <row r="121" spans="38:38" ht="15" customHeight="1">
      <c r="AL121" s="1442"/>
    </row>
    <row r="122" spans="38:38" ht="15" customHeight="1">
      <c r="AL122" s="1442"/>
    </row>
    <row r="123" spans="38:38" ht="15" customHeight="1">
      <c r="AL123" s="1442"/>
    </row>
    <row r="124" spans="38:38" ht="15" customHeight="1">
      <c r="AL124" s="1442"/>
    </row>
    <row r="125" spans="38:38" ht="15" customHeight="1">
      <c r="AL125" s="1442"/>
    </row>
    <row r="126" spans="38:38" ht="15" customHeight="1">
      <c r="AL126" s="1442"/>
    </row>
    <row r="127" spans="38:38" ht="15" customHeight="1">
      <c r="AL127" s="1442"/>
    </row>
    <row r="128" spans="38:38" ht="15" customHeight="1">
      <c r="AL128" s="1442"/>
    </row>
    <row r="129" spans="38:38" ht="15" customHeight="1">
      <c r="AL129" s="1442"/>
    </row>
    <row r="130" spans="38:38" ht="15" customHeight="1">
      <c r="AL130" s="1442"/>
    </row>
    <row r="131" spans="38:38" ht="15" customHeight="1">
      <c r="AL131" s="1442"/>
    </row>
    <row r="132" spans="38:38" ht="15" customHeight="1">
      <c r="AL132" s="1442"/>
    </row>
    <row r="133" spans="38:38" ht="15" customHeight="1">
      <c r="AL133" s="1442"/>
    </row>
    <row r="134" spans="38:38" ht="15" customHeight="1">
      <c r="AL134" s="1442"/>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5"/>
  <cols>
    <col min="1" max="1" width="40.4609375" style="2636" customWidth="1"/>
    <col min="2" max="2" width="10.4609375" style="2636" customWidth="1"/>
    <col min="3" max="3" width="1.07421875" style="2636" customWidth="1"/>
    <col min="4" max="4" width="10" style="2636" customWidth="1"/>
    <col min="5" max="5" width="1.07421875" style="2636" customWidth="1"/>
    <col min="6" max="6" width="9.07421875" style="2637" customWidth="1"/>
    <col min="7" max="7" width="1.07421875" style="2636" customWidth="1"/>
    <col min="8" max="8" width="10" style="2636" customWidth="1"/>
    <col min="9" max="9" width="1.07421875" style="2636" customWidth="1"/>
    <col min="10" max="10" width="9.4609375" style="2636" customWidth="1"/>
    <col min="11" max="11" width="1.07421875" style="2636" customWidth="1"/>
    <col min="12" max="12" width="11.07421875" style="2636" customWidth="1"/>
    <col min="13" max="13" width="1.07421875" style="2636" customWidth="1"/>
    <col min="14" max="14" width="10.765625" style="2636" customWidth="1"/>
    <col min="15" max="15" width="1.765625" style="2636" customWidth="1"/>
    <col min="16" max="16" width="11" style="2636" customWidth="1"/>
    <col min="17" max="17" width="1.07421875" style="2636" customWidth="1"/>
    <col min="18" max="18" width="10.765625" style="2636" customWidth="1"/>
    <col min="19" max="19" width="1.07421875" style="2636" customWidth="1"/>
    <col min="20" max="20" width="10" style="2636" customWidth="1"/>
    <col min="21" max="21" width="1.07421875" style="2636" customWidth="1"/>
    <col min="22" max="22" width="12.765625" style="2636" customWidth="1"/>
    <col min="23" max="23" width="1.07421875" style="2636" customWidth="1"/>
    <col min="24" max="24" width="11.07421875" style="2636" bestFit="1" customWidth="1"/>
    <col min="25" max="25" width="1.07421875" style="2636" customWidth="1"/>
    <col min="26" max="26" width="0.765625" style="2636" customWidth="1"/>
    <col min="27" max="27" width="10.53515625" style="2636" customWidth="1"/>
    <col min="28" max="28" width="2.07421875" style="2636" customWidth="1"/>
    <col min="29" max="29" width="0.765625" style="2636" customWidth="1"/>
    <col min="30" max="30" width="11" style="2636" bestFit="1" customWidth="1"/>
    <col min="31" max="32" width="0.765625" style="2636" customWidth="1"/>
    <col min="33" max="33" width="9.765625" style="2636" customWidth="1"/>
    <col min="34" max="34" width="1.07421875" style="2636" customWidth="1"/>
    <col min="35" max="35" width="11" style="2636" customWidth="1"/>
    <col min="36" max="36" width="14.53515625" style="2638" customWidth="1"/>
    <col min="37" max="252" width="8.765625" style="2636"/>
    <col min="253" max="253" width="38.4609375" style="2636" customWidth="1"/>
    <col min="254" max="254" width="8.53515625" style="2636" customWidth="1"/>
    <col min="255" max="255" width="1.07421875" style="2636" customWidth="1"/>
    <col min="256" max="256" width="8.765625" style="2636" customWidth="1"/>
    <col min="257" max="257" width="1.07421875" style="2636" customWidth="1"/>
    <col min="258" max="258" width="9.07421875" style="2636" customWidth="1"/>
    <col min="259" max="259" width="1.07421875" style="2636" customWidth="1"/>
    <col min="260" max="260" width="10" style="2636" customWidth="1"/>
    <col min="261" max="261" width="1.07421875" style="2636" customWidth="1"/>
    <col min="262" max="262" width="9.07421875" style="2636" customWidth="1"/>
    <col min="263" max="263" width="1.07421875" style="2636" customWidth="1"/>
    <col min="264" max="264" width="11.07421875" style="2636" customWidth="1"/>
    <col min="265" max="265" width="1.07421875" style="2636" customWidth="1"/>
    <col min="266" max="266" width="9.07421875" style="2636" customWidth="1"/>
    <col min="267" max="267" width="1.765625" style="2636" customWidth="1"/>
    <col min="268" max="268" width="11" style="2636" customWidth="1"/>
    <col min="269" max="269" width="1.07421875" style="2636" customWidth="1"/>
    <col min="270" max="270" width="10.765625" style="2636" customWidth="1"/>
    <col min="271" max="271" width="1.07421875" style="2636" customWidth="1"/>
    <col min="272" max="272" width="10" style="2636" customWidth="1"/>
    <col min="273" max="273" width="1.07421875" style="2636" customWidth="1"/>
    <col min="274" max="274" width="9.07421875" style="2636" customWidth="1"/>
    <col min="275" max="275" width="1.07421875" style="2636" customWidth="1"/>
    <col min="276" max="276" width="7.765625" style="2636" customWidth="1"/>
    <col min="277" max="277" width="1.07421875" style="2636" customWidth="1"/>
    <col min="278" max="278" width="0.765625" style="2636" customWidth="1"/>
    <col min="279" max="279" width="9.07421875" style="2636" customWidth="1"/>
    <col min="280" max="280" width="1.07421875" style="2636" customWidth="1"/>
    <col min="281" max="281" width="0.765625" style="2636" customWidth="1"/>
    <col min="282" max="282" width="9.53515625" style="2636" bestFit="1" customWidth="1"/>
    <col min="283" max="284" width="0.765625" style="2636" customWidth="1"/>
    <col min="285" max="285" width="9.765625" style="2636" customWidth="1"/>
    <col min="286" max="286" width="1.07421875" style="2636" customWidth="1"/>
    <col min="287" max="287" width="8.53515625" style="2636" customWidth="1"/>
    <col min="288" max="288" width="14.53515625" style="2636" customWidth="1"/>
    <col min="289" max="289" width="10" style="2636" customWidth="1"/>
    <col min="290" max="290" width="7.765625" style="2636" bestFit="1" customWidth="1"/>
    <col min="291" max="291" width="9.765625" style="2636" customWidth="1"/>
    <col min="292" max="508" width="8.765625" style="2636"/>
    <col min="509" max="509" width="38.4609375" style="2636" customWidth="1"/>
    <col min="510" max="510" width="8.53515625" style="2636" customWidth="1"/>
    <col min="511" max="511" width="1.07421875" style="2636" customWidth="1"/>
    <col min="512" max="512" width="8.765625" style="2636" customWidth="1"/>
    <col min="513" max="513" width="1.07421875" style="2636" customWidth="1"/>
    <col min="514" max="514" width="9.07421875" style="2636" customWidth="1"/>
    <col min="515" max="515" width="1.07421875" style="2636" customWidth="1"/>
    <col min="516" max="516" width="10" style="2636" customWidth="1"/>
    <col min="517" max="517" width="1.07421875" style="2636" customWidth="1"/>
    <col min="518" max="518" width="9.07421875" style="2636" customWidth="1"/>
    <col min="519" max="519" width="1.07421875" style="2636" customWidth="1"/>
    <col min="520" max="520" width="11.07421875" style="2636" customWidth="1"/>
    <col min="521" max="521" width="1.07421875" style="2636" customWidth="1"/>
    <col min="522" max="522" width="9.07421875" style="2636" customWidth="1"/>
    <col min="523" max="523" width="1.765625" style="2636" customWidth="1"/>
    <col min="524" max="524" width="11" style="2636" customWidth="1"/>
    <col min="525" max="525" width="1.07421875" style="2636" customWidth="1"/>
    <col min="526" max="526" width="10.765625" style="2636" customWidth="1"/>
    <col min="527" max="527" width="1.07421875" style="2636" customWidth="1"/>
    <col min="528" max="528" width="10" style="2636" customWidth="1"/>
    <col min="529" max="529" width="1.07421875" style="2636" customWidth="1"/>
    <col min="530" max="530" width="9.07421875" style="2636" customWidth="1"/>
    <col min="531" max="531" width="1.07421875" style="2636" customWidth="1"/>
    <col min="532" max="532" width="7.765625" style="2636" customWidth="1"/>
    <col min="533" max="533" width="1.07421875" style="2636" customWidth="1"/>
    <col min="534" max="534" width="0.765625" style="2636" customWidth="1"/>
    <col min="535" max="535" width="9.07421875" style="2636" customWidth="1"/>
    <col min="536" max="536" width="1.07421875" style="2636" customWidth="1"/>
    <col min="537" max="537" width="0.765625" style="2636" customWidth="1"/>
    <col min="538" max="538" width="9.53515625" style="2636" bestFit="1" customWidth="1"/>
    <col min="539" max="540" width="0.765625" style="2636" customWidth="1"/>
    <col min="541" max="541" width="9.765625" style="2636" customWidth="1"/>
    <col min="542" max="542" width="1.07421875" style="2636" customWidth="1"/>
    <col min="543" max="543" width="8.53515625" style="2636" customWidth="1"/>
    <col min="544" max="544" width="14.53515625" style="2636" customWidth="1"/>
    <col min="545" max="545" width="10" style="2636" customWidth="1"/>
    <col min="546" max="546" width="7.765625" style="2636" bestFit="1" customWidth="1"/>
    <col min="547" max="547" width="9.765625" style="2636" customWidth="1"/>
    <col min="548" max="764" width="8.765625" style="2636"/>
    <col min="765" max="765" width="38.4609375" style="2636" customWidth="1"/>
    <col min="766" max="766" width="8.53515625" style="2636" customWidth="1"/>
    <col min="767" max="767" width="1.07421875" style="2636" customWidth="1"/>
    <col min="768" max="768" width="8.765625" style="2636" customWidth="1"/>
    <col min="769" max="769" width="1.07421875" style="2636" customWidth="1"/>
    <col min="770" max="770" width="9.07421875" style="2636" customWidth="1"/>
    <col min="771" max="771" width="1.07421875" style="2636" customWidth="1"/>
    <col min="772" max="772" width="10" style="2636" customWidth="1"/>
    <col min="773" max="773" width="1.07421875" style="2636" customWidth="1"/>
    <col min="774" max="774" width="9.07421875" style="2636" customWidth="1"/>
    <col min="775" max="775" width="1.07421875" style="2636" customWidth="1"/>
    <col min="776" max="776" width="11.07421875" style="2636" customWidth="1"/>
    <col min="777" max="777" width="1.07421875" style="2636" customWidth="1"/>
    <col min="778" max="778" width="9.07421875" style="2636" customWidth="1"/>
    <col min="779" max="779" width="1.765625" style="2636" customWidth="1"/>
    <col min="780" max="780" width="11" style="2636" customWidth="1"/>
    <col min="781" max="781" width="1.07421875" style="2636" customWidth="1"/>
    <col min="782" max="782" width="10.765625" style="2636" customWidth="1"/>
    <col min="783" max="783" width="1.07421875" style="2636" customWidth="1"/>
    <col min="784" max="784" width="10" style="2636" customWidth="1"/>
    <col min="785" max="785" width="1.07421875" style="2636" customWidth="1"/>
    <col min="786" max="786" width="9.07421875" style="2636" customWidth="1"/>
    <col min="787" max="787" width="1.07421875" style="2636" customWidth="1"/>
    <col min="788" max="788" width="7.765625" style="2636" customWidth="1"/>
    <col min="789" max="789" width="1.07421875" style="2636" customWidth="1"/>
    <col min="790" max="790" width="0.765625" style="2636" customWidth="1"/>
    <col min="791" max="791" width="9.07421875" style="2636" customWidth="1"/>
    <col min="792" max="792" width="1.07421875" style="2636" customWidth="1"/>
    <col min="793" max="793" width="0.765625" style="2636" customWidth="1"/>
    <col min="794" max="794" width="9.53515625" style="2636" bestFit="1" customWidth="1"/>
    <col min="795" max="796" width="0.765625" style="2636" customWidth="1"/>
    <col min="797" max="797" width="9.765625" style="2636" customWidth="1"/>
    <col min="798" max="798" width="1.07421875" style="2636" customWidth="1"/>
    <col min="799" max="799" width="8.53515625" style="2636" customWidth="1"/>
    <col min="800" max="800" width="14.53515625" style="2636" customWidth="1"/>
    <col min="801" max="801" width="10" style="2636" customWidth="1"/>
    <col min="802" max="802" width="7.765625" style="2636" bestFit="1" customWidth="1"/>
    <col min="803" max="803" width="9.765625" style="2636" customWidth="1"/>
    <col min="804" max="1020" width="8.765625" style="2636"/>
    <col min="1021" max="1021" width="38.4609375" style="2636" customWidth="1"/>
    <col min="1022" max="1022" width="8.53515625" style="2636" customWidth="1"/>
    <col min="1023" max="1023" width="1.07421875" style="2636" customWidth="1"/>
    <col min="1024" max="1024" width="8.765625" style="2636" customWidth="1"/>
    <col min="1025" max="1025" width="1.07421875" style="2636" customWidth="1"/>
    <col min="1026" max="1026" width="9.07421875" style="2636" customWidth="1"/>
    <col min="1027" max="1027" width="1.07421875" style="2636" customWidth="1"/>
    <col min="1028" max="1028" width="10" style="2636" customWidth="1"/>
    <col min="1029" max="1029" width="1.07421875" style="2636" customWidth="1"/>
    <col min="1030" max="1030" width="9.07421875" style="2636" customWidth="1"/>
    <col min="1031" max="1031" width="1.07421875" style="2636" customWidth="1"/>
    <col min="1032" max="1032" width="11.07421875" style="2636" customWidth="1"/>
    <col min="1033" max="1033" width="1.07421875" style="2636" customWidth="1"/>
    <col min="1034" max="1034" width="9.07421875" style="2636" customWidth="1"/>
    <col min="1035" max="1035" width="1.765625" style="2636" customWidth="1"/>
    <col min="1036" max="1036" width="11" style="2636" customWidth="1"/>
    <col min="1037" max="1037" width="1.07421875" style="2636" customWidth="1"/>
    <col min="1038" max="1038" width="10.765625" style="2636" customWidth="1"/>
    <col min="1039" max="1039" width="1.07421875" style="2636" customWidth="1"/>
    <col min="1040" max="1040" width="10" style="2636" customWidth="1"/>
    <col min="1041" max="1041" width="1.07421875" style="2636" customWidth="1"/>
    <col min="1042" max="1042" width="9.07421875" style="2636" customWidth="1"/>
    <col min="1043" max="1043" width="1.07421875" style="2636" customWidth="1"/>
    <col min="1044" max="1044" width="7.765625" style="2636" customWidth="1"/>
    <col min="1045" max="1045" width="1.07421875" style="2636" customWidth="1"/>
    <col min="1046" max="1046" width="0.765625" style="2636" customWidth="1"/>
    <col min="1047" max="1047" width="9.07421875" style="2636" customWidth="1"/>
    <col min="1048" max="1048" width="1.07421875" style="2636" customWidth="1"/>
    <col min="1049" max="1049" width="0.765625" style="2636" customWidth="1"/>
    <col min="1050" max="1050" width="9.53515625" style="2636" bestFit="1" customWidth="1"/>
    <col min="1051" max="1052" width="0.765625" style="2636" customWidth="1"/>
    <col min="1053" max="1053" width="9.765625" style="2636" customWidth="1"/>
    <col min="1054" max="1054" width="1.07421875" style="2636" customWidth="1"/>
    <col min="1055" max="1055" width="8.53515625" style="2636" customWidth="1"/>
    <col min="1056" max="1056" width="14.53515625" style="2636" customWidth="1"/>
    <col min="1057" max="1057" width="10" style="2636" customWidth="1"/>
    <col min="1058" max="1058" width="7.765625" style="2636" bestFit="1" customWidth="1"/>
    <col min="1059" max="1059" width="9.765625" style="2636" customWidth="1"/>
    <col min="1060" max="1276" width="8.765625" style="2636"/>
    <col min="1277" max="1277" width="38.4609375" style="2636" customWidth="1"/>
    <col min="1278" max="1278" width="8.53515625" style="2636" customWidth="1"/>
    <col min="1279" max="1279" width="1.07421875" style="2636" customWidth="1"/>
    <col min="1280" max="1280" width="8.765625" style="2636" customWidth="1"/>
    <col min="1281" max="1281" width="1.07421875" style="2636" customWidth="1"/>
    <col min="1282" max="1282" width="9.07421875" style="2636" customWidth="1"/>
    <col min="1283" max="1283" width="1.07421875" style="2636" customWidth="1"/>
    <col min="1284" max="1284" width="10" style="2636" customWidth="1"/>
    <col min="1285" max="1285" width="1.07421875" style="2636" customWidth="1"/>
    <col min="1286" max="1286" width="9.07421875" style="2636" customWidth="1"/>
    <col min="1287" max="1287" width="1.07421875" style="2636" customWidth="1"/>
    <col min="1288" max="1288" width="11.07421875" style="2636" customWidth="1"/>
    <col min="1289" max="1289" width="1.07421875" style="2636" customWidth="1"/>
    <col min="1290" max="1290" width="9.07421875" style="2636" customWidth="1"/>
    <col min="1291" max="1291" width="1.765625" style="2636" customWidth="1"/>
    <col min="1292" max="1292" width="11" style="2636" customWidth="1"/>
    <col min="1293" max="1293" width="1.07421875" style="2636" customWidth="1"/>
    <col min="1294" max="1294" width="10.765625" style="2636" customWidth="1"/>
    <col min="1295" max="1295" width="1.07421875" style="2636" customWidth="1"/>
    <col min="1296" max="1296" width="10" style="2636" customWidth="1"/>
    <col min="1297" max="1297" width="1.07421875" style="2636" customWidth="1"/>
    <col min="1298" max="1298" width="9.07421875" style="2636" customWidth="1"/>
    <col min="1299" max="1299" width="1.07421875" style="2636" customWidth="1"/>
    <col min="1300" max="1300" width="7.765625" style="2636" customWidth="1"/>
    <col min="1301" max="1301" width="1.07421875" style="2636" customWidth="1"/>
    <col min="1302" max="1302" width="0.765625" style="2636" customWidth="1"/>
    <col min="1303" max="1303" width="9.07421875" style="2636" customWidth="1"/>
    <col min="1304" max="1304" width="1.07421875" style="2636" customWidth="1"/>
    <col min="1305" max="1305" width="0.765625" style="2636" customWidth="1"/>
    <col min="1306" max="1306" width="9.53515625" style="2636" bestFit="1" customWidth="1"/>
    <col min="1307" max="1308" width="0.765625" style="2636" customWidth="1"/>
    <col min="1309" max="1309" width="9.765625" style="2636" customWidth="1"/>
    <col min="1310" max="1310" width="1.07421875" style="2636" customWidth="1"/>
    <col min="1311" max="1311" width="8.53515625" style="2636" customWidth="1"/>
    <col min="1312" max="1312" width="14.53515625" style="2636" customWidth="1"/>
    <col min="1313" max="1313" width="10" style="2636" customWidth="1"/>
    <col min="1314" max="1314" width="7.765625" style="2636" bestFit="1" customWidth="1"/>
    <col min="1315" max="1315" width="9.765625" style="2636" customWidth="1"/>
    <col min="1316" max="1532" width="8.765625" style="2636"/>
    <col min="1533" max="1533" width="38.4609375" style="2636" customWidth="1"/>
    <col min="1534" max="1534" width="8.53515625" style="2636" customWidth="1"/>
    <col min="1535" max="1535" width="1.07421875" style="2636" customWidth="1"/>
    <col min="1536" max="1536" width="8.765625" style="2636" customWidth="1"/>
    <col min="1537" max="1537" width="1.07421875" style="2636" customWidth="1"/>
    <col min="1538" max="1538" width="9.07421875" style="2636" customWidth="1"/>
    <col min="1539" max="1539" width="1.07421875" style="2636" customWidth="1"/>
    <col min="1540" max="1540" width="10" style="2636" customWidth="1"/>
    <col min="1541" max="1541" width="1.07421875" style="2636" customWidth="1"/>
    <col min="1542" max="1542" width="9.07421875" style="2636" customWidth="1"/>
    <col min="1543" max="1543" width="1.07421875" style="2636" customWidth="1"/>
    <col min="1544" max="1544" width="11.07421875" style="2636" customWidth="1"/>
    <col min="1545" max="1545" width="1.07421875" style="2636" customWidth="1"/>
    <col min="1546" max="1546" width="9.07421875" style="2636" customWidth="1"/>
    <col min="1547" max="1547" width="1.765625" style="2636" customWidth="1"/>
    <col min="1548" max="1548" width="11" style="2636" customWidth="1"/>
    <col min="1549" max="1549" width="1.07421875" style="2636" customWidth="1"/>
    <col min="1550" max="1550" width="10.765625" style="2636" customWidth="1"/>
    <col min="1551" max="1551" width="1.07421875" style="2636" customWidth="1"/>
    <col min="1552" max="1552" width="10" style="2636" customWidth="1"/>
    <col min="1553" max="1553" width="1.07421875" style="2636" customWidth="1"/>
    <col min="1554" max="1554" width="9.07421875" style="2636" customWidth="1"/>
    <col min="1555" max="1555" width="1.07421875" style="2636" customWidth="1"/>
    <col min="1556" max="1556" width="7.765625" style="2636" customWidth="1"/>
    <col min="1557" max="1557" width="1.07421875" style="2636" customWidth="1"/>
    <col min="1558" max="1558" width="0.765625" style="2636" customWidth="1"/>
    <col min="1559" max="1559" width="9.07421875" style="2636" customWidth="1"/>
    <col min="1560" max="1560" width="1.07421875" style="2636" customWidth="1"/>
    <col min="1561" max="1561" width="0.765625" style="2636" customWidth="1"/>
    <col min="1562" max="1562" width="9.53515625" style="2636" bestFit="1" customWidth="1"/>
    <col min="1563" max="1564" width="0.765625" style="2636" customWidth="1"/>
    <col min="1565" max="1565" width="9.765625" style="2636" customWidth="1"/>
    <col min="1566" max="1566" width="1.07421875" style="2636" customWidth="1"/>
    <col min="1567" max="1567" width="8.53515625" style="2636" customWidth="1"/>
    <col min="1568" max="1568" width="14.53515625" style="2636" customWidth="1"/>
    <col min="1569" max="1569" width="10" style="2636" customWidth="1"/>
    <col min="1570" max="1570" width="7.765625" style="2636" bestFit="1" customWidth="1"/>
    <col min="1571" max="1571" width="9.765625" style="2636" customWidth="1"/>
    <col min="1572" max="1788" width="8.765625" style="2636"/>
    <col min="1789" max="1789" width="38.4609375" style="2636" customWidth="1"/>
    <col min="1790" max="1790" width="8.53515625" style="2636" customWidth="1"/>
    <col min="1791" max="1791" width="1.07421875" style="2636" customWidth="1"/>
    <col min="1792" max="1792" width="8.765625" style="2636" customWidth="1"/>
    <col min="1793" max="1793" width="1.07421875" style="2636" customWidth="1"/>
    <col min="1794" max="1794" width="9.07421875" style="2636" customWidth="1"/>
    <col min="1795" max="1795" width="1.07421875" style="2636" customWidth="1"/>
    <col min="1796" max="1796" width="10" style="2636" customWidth="1"/>
    <col min="1797" max="1797" width="1.07421875" style="2636" customWidth="1"/>
    <col min="1798" max="1798" width="9.07421875" style="2636" customWidth="1"/>
    <col min="1799" max="1799" width="1.07421875" style="2636" customWidth="1"/>
    <col min="1800" max="1800" width="11.07421875" style="2636" customWidth="1"/>
    <col min="1801" max="1801" width="1.07421875" style="2636" customWidth="1"/>
    <col min="1802" max="1802" width="9.07421875" style="2636" customWidth="1"/>
    <col min="1803" max="1803" width="1.765625" style="2636" customWidth="1"/>
    <col min="1804" max="1804" width="11" style="2636" customWidth="1"/>
    <col min="1805" max="1805" width="1.07421875" style="2636" customWidth="1"/>
    <col min="1806" max="1806" width="10.765625" style="2636" customWidth="1"/>
    <col min="1807" max="1807" width="1.07421875" style="2636" customWidth="1"/>
    <col min="1808" max="1808" width="10" style="2636" customWidth="1"/>
    <col min="1809" max="1809" width="1.07421875" style="2636" customWidth="1"/>
    <col min="1810" max="1810" width="9.07421875" style="2636" customWidth="1"/>
    <col min="1811" max="1811" width="1.07421875" style="2636" customWidth="1"/>
    <col min="1812" max="1812" width="7.765625" style="2636" customWidth="1"/>
    <col min="1813" max="1813" width="1.07421875" style="2636" customWidth="1"/>
    <col min="1814" max="1814" width="0.765625" style="2636" customWidth="1"/>
    <col min="1815" max="1815" width="9.07421875" style="2636" customWidth="1"/>
    <col min="1816" max="1816" width="1.07421875" style="2636" customWidth="1"/>
    <col min="1817" max="1817" width="0.765625" style="2636" customWidth="1"/>
    <col min="1818" max="1818" width="9.53515625" style="2636" bestFit="1" customWidth="1"/>
    <col min="1819" max="1820" width="0.765625" style="2636" customWidth="1"/>
    <col min="1821" max="1821" width="9.765625" style="2636" customWidth="1"/>
    <col min="1822" max="1822" width="1.07421875" style="2636" customWidth="1"/>
    <col min="1823" max="1823" width="8.53515625" style="2636" customWidth="1"/>
    <col min="1824" max="1824" width="14.53515625" style="2636" customWidth="1"/>
    <col min="1825" max="1825" width="10" style="2636" customWidth="1"/>
    <col min="1826" max="1826" width="7.765625" style="2636" bestFit="1" customWidth="1"/>
    <col min="1827" max="1827" width="9.765625" style="2636" customWidth="1"/>
    <col min="1828" max="2044" width="8.765625" style="2636"/>
    <col min="2045" max="2045" width="38.4609375" style="2636" customWidth="1"/>
    <col min="2046" max="2046" width="8.53515625" style="2636" customWidth="1"/>
    <col min="2047" max="2047" width="1.07421875" style="2636" customWidth="1"/>
    <col min="2048" max="2048" width="8.765625" style="2636" customWidth="1"/>
    <col min="2049" max="2049" width="1.07421875" style="2636" customWidth="1"/>
    <col min="2050" max="2050" width="9.07421875" style="2636" customWidth="1"/>
    <col min="2051" max="2051" width="1.07421875" style="2636" customWidth="1"/>
    <col min="2052" max="2052" width="10" style="2636" customWidth="1"/>
    <col min="2053" max="2053" width="1.07421875" style="2636" customWidth="1"/>
    <col min="2054" max="2054" width="9.07421875" style="2636" customWidth="1"/>
    <col min="2055" max="2055" width="1.07421875" style="2636" customWidth="1"/>
    <col min="2056" max="2056" width="11.07421875" style="2636" customWidth="1"/>
    <col min="2057" max="2057" width="1.07421875" style="2636" customWidth="1"/>
    <col min="2058" max="2058" width="9.07421875" style="2636" customWidth="1"/>
    <col min="2059" max="2059" width="1.765625" style="2636" customWidth="1"/>
    <col min="2060" max="2060" width="11" style="2636" customWidth="1"/>
    <col min="2061" max="2061" width="1.07421875" style="2636" customWidth="1"/>
    <col min="2062" max="2062" width="10.765625" style="2636" customWidth="1"/>
    <col min="2063" max="2063" width="1.07421875" style="2636" customWidth="1"/>
    <col min="2064" max="2064" width="10" style="2636" customWidth="1"/>
    <col min="2065" max="2065" width="1.07421875" style="2636" customWidth="1"/>
    <col min="2066" max="2066" width="9.07421875" style="2636" customWidth="1"/>
    <col min="2067" max="2067" width="1.07421875" style="2636" customWidth="1"/>
    <col min="2068" max="2068" width="7.765625" style="2636" customWidth="1"/>
    <col min="2069" max="2069" width="1.07421875" style="2636" customWidth="1"/>
    <col min="2070" max="2070" width="0.765625" style="2636" customWidth="1"/>
    <col min="2071" max="2071" width="9.07421875" style="2636" customWidth="1"/>
    <col min="2072" max="2072" width="1.07421875" style="2636" customWidth="1"/>
    <col min="2073" max="2073" width="0.765625" style="2636" customWidth="1"/>
    <col min="2074" max="2074" width="9.53515625" style="2636" bestFit="1" customWidth="1"/>
    <col min="2075" max="2076" width="0.765625" style="2636" customWidth="1"/>
    <col min="2077" max="2077" width="9.765625" style="2636" customWidth="1"/>
    <col min="2078" max="2078" width="1.07421875" style="2636" customWidth="1"/>
    <col min="2079" max="2079" width="8.53515625" style="2636" customWidth="1"/>
    <col min="2080" max="2080" width="14.53515625" style="2636" customWidth="1"/>
    <col min="2081" max="2081" width="10" style="2636" customWidth="1"/>
    <col min="2082" max="2082" width="7.765625" style="2636" bestFit="1" customWidth="1"/>
    <col min="2083" max="2083" width="9.765625" style="2636" customWidth="1"/>
    <col min="2084" max="2300" width="8.765625" style="2636"/>
    <col min="2301" max="2301" width="38.4609375" style="2636" customWidth="1"/>
    <col min="2302" max="2302" width="8.53515625" style="2636" customWidth="1"/>
    <col min="2303" max="2303" width="1.07421875" style="2636" customWidth="1"/>
    <col min="2304" max="2304" width="8.765625" style="2636" customWidth="1"/>
    <col min="2305" max="2305" width="1.07421875" style="2636" customWidth="1"/>
    <col min="2306" max="2306" width="9.07421875" style="2636" customWidth="1"/>
    <col min="2307" max="2307" width="1.07421875" style="2636" customWidth="1"/>
    <col min="2308" max="2308" width="10" style="2636" customWidth="1"/>
    <col min="2309" max="2309" width="1.07421875" style="2636" customWidth="1"/>
    <col min="2310" max="2310" width="9.07421875" style="2636" customWidth="1"/>
    <col min="2311" max="2311" width="1.07421875" style="2636" customWidth="1"/>
    <col min="2312" max="2312" width="11.07421875" style="2636" customWidth="1"/>
    <col min="2313" max="2313" width="1.07421875" style="2636" customWidth="1"/>
    <col min="2314" max="2314" width="9.07421875" style="2636" customWidth="1"/>
    <col min="2315" max="2315" width="1.765625" style="2636" customWidth="1"/>
    <col min="2316" max="2316" width="11" style="2636" customWidth="1"/>
    <col min="2317" max="2317" width="1.07421875" style="2636" customWidth="1"/>
    <col min="2318" max="2318" width="10.765625" style="2636" customWidth="1"/>
    <col min="2319" max="2319" width="1.07421875" style="2636" customWidth="1"/>
    <col min="2320" max="2320" width="10" style="2636" customWidth="1"/>
    <col min="2321" max="2321" width="1.07421875" style="2636" customWidth="1"/>
    <col min="2322" max="2322" width="9.07421875" style="2636" customWidth="1"/>
    <col min="2323" max="2323" width="1.07421875" style="2636" customWidth="1"/>
    <col min="2324" max="2324" width="7.765625" style="2636" customWidth="1"/>
    <col min="2325" max="2325" width="1.07421875" style="2636" customWidth="1"/>
    <col min="2326" max="2326" width="0.765625" style="2636" customWidth="1"/>
    <col min="2327" max="2327" width="9.07421875" style="2636" customWidth="1"/>
    <col min="2328" max="2328" width="1.07421875" style="2636" customWidth="1"/>
    <col min="2329" max="2329" width="0.765625" style="2636" customWidth="1"/>
    <col min="2330" max="2330" width="9.53515625" style="2636" bestFit="1" customWidth="1"/>
    <col min="2331" max="2332" width="0.765625" style="2636" customWidth="1"/>
    <col min="2333" max="2333" width="9.765625" style="2636" customWidth="1"/>
    <col min="2334" max="2334" width="1.07421875" style="2636" customWidth="1"/>
    <col min="2335" max="2335" width="8.53515625" style="2636" customWidth="1"/>
    <col min="2336" max="2336" width="14.53515625" style="2636" customWidth="1"/>
    <col min="2337" max="2337" width="10" style="2636" customWidth="1"/>
    <col min="2338" max="2338" width="7.765625" style="2636" bestFit="1" customWidth="1"/>
    <col min="2339" max="2339" width="9.765625" style="2636" customWidth="1"/>
    <col min="2340" max="2556" width="8.765625" style="2636"/>
    <col min="2557" max="2557" width="38.4609375" style="2636" customWidth="1"/>
    <col min="2558" max="2558" width="8.53515625" style="2636" customWidth="1"/>
    <col min="2559" max="2559" width="1.07421875" style="2636" customWidth="1"/>
    <col min="2560" max="2560" width="8.765625" style="2636" customWidth="1"/>
    <col min="2561" max="2561" width="1.07421875" style="2636" customWidth="1"/>
    <col min="2562" max="2562" width="9.07421875" style="2636" customWidth="1"/>
    <col min="2563" max="2563" width="1.07421875" style="2636" customWidth="1"/>
    <col min="2564" max="2564" width="10" style="2636" customWidth="1"/>
    <col min="2565" max="2565" width="1.07421875" style="2636" customWidth="1"/>
    <col min="2566" max="2566" width="9.07421875" style="2636" customWidth="1"/>
    <col min="2567" max="2567" width="1.07421875" style="2636" customWidth="1"/>
    <col min="2568" max="2568" width="11.07421875" style="2636" customWidth="1"/>
    <col min="2569" max="2569" width="1.07421875" style="2636" customWidth="1"/>
    <col min="2570" max="2570" width="9.07421875" style="2636" customWidth="1"/>
    <col min="2571" max="2571" width="1.765625" style="2636" customWidth="1"/>
    <col min="2572" max="2572" width="11" style="2636" customWidth="1"/>
    <col min="2573" max="2573" width="1.07421875" style="2636" customWidth="1"/>
    <col min="2574" max="2574" width="10.765625" style="2636" customWidth="1"/>
    <col min="2575" max="2575" width="1.07421875" style="2636" customWidth="1"/>
    <col min="2576" max="2576" width="10" style="2636" customWidth="1"/>
    <col min="2577" max="2577" width="1.07421875" style="2636" customWidth="1"/>
    <col min="2578" max="2578" width="9.07421875" style="2636" customWidth="1"/>
    <col min="2579" max="2579" width="1.07421875" style="2636" customWidth="1"/>
    <col min="2580" max="2580" width="7.765625" style="2636" customWidth="1"/>
    <col min="2581" max="2581" width="1.07421875" style="2636" customWidth="1"/>
    <col min="2582" max="2582" width="0.765625" style="2636" customWidth="1"/>
    <col min="2583" max="2583" width="9.07421875" style="2636" customWidth="1"/>
    <col min="2584" max="2584" width="1.07421875" style="2636" customWidth="1"/>
    <col min="2585" max="2585" width="0.765625" style="2636" customWidth="1"/>
    <col min="2586" max="2586" width="9.53515625" style="2636" bestFit="1" customWidth="1"/>
    <col min="2587" max="2588" width="0.765625" style="2636" customWidth="1"/>
    <col min="2589" max="2589" width="9.765625" style="2636" customWidth="1"/>
    <col min="2590" max="2590" width="1.07421875" style="2636" customWidth="1"/>
    <col min="2591" max="2591" width="8.53515625" style="2636" customWidth="1"/>
    <col min="2592" max="2592" width="14.53515625" style="2636" customWidth="1"/>
    <col min="2593" max="2593" width="10" style="2636" customWidth="1"/>
    <col min="2594" max="2594" width="7.765625" style="2636" bestFit="1" customWidth="1"/>
    <col min="2595" max="2595" width="9.765625" style="2636" customWidth="1"/>
    <col min="2596" max="2812" width="8.765625" style="2636"/>
    <col min="2813" max="2813" width="38.4609375" style="2636" customWidth="1"/>
    <col min="2814" max="2814" width="8.53515625" style="2636" customWidth="1"/>
    <col min="2815" max="2815" width="1.07421875" style="2636" customWidth="1"/>
    <col min="2816" max="2816" width="8.765625" style="2636" customWidth="1"/>
    <col min="2817" max="2817" width="1.07421875" style="2636" customWidth="1"/>
    <col min="2818" max="2818" width="9.07421875" style="2636" customWidth="1"/>
    <col min="2819" max="2819" width="1.07421875" style="2636" customWidth="1"/>
    <col min="2820" max="2820" width="10" style="2636" customWidth="1"/>
    <col min="2821" max="2821" width="1.07421875" style="2636" customWidth="1"/>
    <col min="2822" max="2822" width="9.07421875" style="2636" customWidth="1"/>
    <col min="2823" max="2823" width="1.07421875" style="2636" customWidth="1"/>
    <col min="2824" max="2824" width="11.07421875" style="2636" customWidth="1"/>
    <col min="2825" max="2825" width="1.07421875" style="2636" customWidth="1"/>
    <col min="2826" max="2826" width="9.07421875" style="2636" customWidth="1"/>
    <col min="2827" max="2827" width="1.765625" style="2636" customWidth="1"/>
    <col min="2828" max="2828" width="11" style="2636" customWidth="1"/>
    <col min="2829" max="2829" width="1.07421875" style="2636" customWidth="1"/>
    <col min="2830" max="2830" width="10.765625" style="2636" customWidth="1"/>
    <col min="2831" max="2831" width="1.07421875" style="2636" customWidth="1"/>
    <col min="2832" max="2832" width="10" style="2636" customWidth="1"/>
    <col min="2833" max="2833" width="1.07421875" style="2636" customWidth="1"/>
    <col min="2834" max="2834" width="9.07421875" style="2636" customWidth="1"/>
    <col min="2835" max="2835" width="1.07421875" style="2636" customWidth="1"/>
    <col min="2836" max="2836" width="7.765625" style="2636" customWidth="1"/>
    <col min="2837" max="2837" width="1.07421875" style="2636" customWidth="1"/>
    <col min="2838" max="2838" width="0.765625" style="2636" customWidth="1"/>
    <col min="2839" max="2839" width="9.07421875" style="2636" customWidth="1"/>
    <col min="2840" max="2840" width="1.07421875" style="2636" customWidth="1"/>
    <col min="2841" max="2841" width="0.765625" style="2636" customWidth="1"/>
    <col min="2842" max="2842" width="9.53515625" style="2636" bestFit="1" customWidth="1"/>
    <col min="2843" max="2844" width="0.765625" style="2636" customWidth="1"/>
    <col min="2845" max="2845" width="9.765625" style="2636" customWidth="1"/>
    <col min="2846" max="2846" width="1.07421875" style="2636" customWidth="1"/>
    <col min="2847" max="2847" width="8.53515625" style="2636" customWidth="1"/>
    <col min="2848" max="2848" width="14.53515625" style="2636" customWidth="1"/>
    <col min="2849" max="2849" width="10" style="2636" customWidth="1"/>
    <col min="2850" max="2850" width="7.765625" style="2636" bestFit="1" customWidth="1"/>
    <col min="2851" max="2851" width="9.765625" style="2636" customWidth="1"/>
    <col min="2852" max="3068" width="8.765625" style="2636"/>
    <col min="3069" max="3069" width="38.4609375" style="2636" customWidth="1"/>
    <col min="3070" max="3070" width="8.53515625" style="2636" customWidth="1"/>
    <col min="3071" max="3071" width="1.07421875" style="2636" customWidth="1"/>
    <col min="3072" max="3072" width="8.765625" style="2636" customWidth="1"/>
    <col min="3073" max="3073" width="1.07421875" style="2636" customWidth="1"/>
    <col min="3074" max="3074" width="9.07421875" style="2636" customWidth="1"/>
    <col min="3075" max="3075" width="1.07421875" style="2636" customWidth="1"/>
    <col min="3076" max="3076" width="10" style="2636" customWidth="1"/>
    <col min="3077" max="3077" width="1.07421875" style="2636" customWidth="1"/>
    <col min="3078" max="3078" width="9.07421875" style="2636" customWidth="1"/>
    <col min="3079" max="3079" width="1.07421875" style="2636" customWidth="1"/>
    <col min="3080" max="3080" width="11.07421875" style="2636" customWidth="1"/>
    <col min="3081" max="3081" width="1.07421875" style="2636" customWidth="1"/>
    <col min="3082" max="3082" width="9.07421875" style="2636" customWidth="1"/>
    <col min="3083" max="3083" width="1.765625" style="2636" customWidth="1"/>
    <col min="3084" max="3084" width="11" style="2636" customWidth="1"/>
    <col min="3085" max="3085" width="1.07421875" style="2636" customWidth="1"/>
    <col min="3086" max="3086" width="10.765625" style="2636" customWidth="1"/>
    <col min="3087" max="3087" width="1.07421875" style="2636" customWidth="1"/>
    <col min="3088" max="3088" width="10" style="2636" customWidth="1"/>
    <col min="3089" max="3089" width="1.07421875" style="2636" customWidth="1"/>
    <col min="3090" max="3090" width="9.07421875" style="2636" customWidth="1"/>
    <col min="3091" max="3091" width="1.07421875" style="2636" customWidth="1"/>
    <col min="3092" max="3092" width="7.765625" style="2636" customWidth="1"/>
    <col min="3093" max="3093" width="1.07421875" style="2636" customWidth="1"/>
    <col min="3094" max="3094" width="0.765625" style="2636" customWidth="1"/>
    <col min="3095" max="3095" width="9.07421875" style="2636" customWidth="1"/>
    <col min="3096" max="3096" width="1.07421875" style="2636" customWidth="1"/>
    <col min="3097" max="3097" width="0.765625" style="2636" customWidth="1"/>
    <col min="3098" max="3098" width="9.53515625" style="2636" bestFit="1" customWidth="1"/>
    <col min="3099" max="3100" width="0.765625" style="2636" customWidth="1"/>
    <col min="3101" max="3101" width="9.765625" style="2636" customWidth="1"/>
    <col min="3102" max="3102" width="1.07421875" style="2636" customWidth="1"/>
    <col min="3103" max="3103" width="8.53515625" style="2636" customWidth="1"/>
    <col min="3104" max="3104" width="14.53515625" style="2636" customWidth="1"/>
    <col min="3105" max="3105" width="10" style="2636" customWidth="1"/>
    <col min="3106" max="3106" width="7.765625" style="2636" bestFit="1" customWidth="1"/>
    <col min="3107" max="3107" width="9.765625" style="2636" customWidth="1"/>
    <col min="3108" max="3324" width="8.765625" style="2636"/>
    <col min="3325" max="3325" width="38.4609375" style="2636" customWidth="1"/>
    <col min="3326" max="3326" width="8.53515625" style="2636" customWidth="1"/>
    <col min="3327" max="3327" width="1.07421875" style="2636" customWidth="1"/>
    <col min="3328" max="3328" width="8.765625" style="2636" customWidth="1"/>
    <col min="3329" max="3329" width="1.07421875" style="2636" customWidth="1"/>
    <col min="3330" max="3330" width="9.07421875" style="2636" customWidth="1"/>
    <col min="3331" max="3331" width="1.07421875" style="2636" customWidth="1"/>
    <col min="3332" max="3332" width="10" style="2636" customWidth="1"/>
    <col min="3333" max="3333" width="1.07421875" style="2636" customWidth="1"/>
    <col min="3334" max="3334" width="9.07421875" style="2636" customWidth="1"/>
    <col min="3335" max="3335" width="1.07421875" style="2636" customWidth="1"/>
    <col min="3336" max="3336" width="11.07421875" style="2636" customWidth="1"/>
    <col min="3337" max="3337" width="1.07421875" style="2636" customWidth="1"/>
    <col min="3338" max="3338" width="9.07421875" style="2636" customWidth="1"/>
    <col min="3339" max="3339" width="1.765625" style="2636" customWidth="1"/>
    <col min="3340" max="3340" width="11" style="2636" customWidth="1"/>
    <col min="3341" max="3341" width="1.07421875" style="2636" customWidth="1"/>
    <col min="3342" max="3342" width="10.765625" style="2636" customWidth="1"/>
    <col min="3343" max="3343" width="1.07421875" style="2636" customWidth="1"/>
    <col min="3344" max="3344" width="10" style="2636" customWidth="1"/>
    <col min="3345" max="3345" width="1.07421875" style="2636" customWidth="1"/>
    <col min="3346" max="3346" width="9.07421875" style="2636" customWidth="1"/>
    <col min="3347" max="3347" width="1.07421875" style="2636" customWidth="1"/>
    <col min="3348" max="3348" width="7.765625" style="2636" customWidth="1"/>
    <col min="3349" max="3349" width="1.07421875" style="2636" customWidth="1"/>
    <col min="3350" max="3350" width="0.765625" style="2636" customWidth="1"/>
    <col min="3351" max="3351" width="9.07421875" style="2636" customWidth="1"/>
    <col min="3352" max="3352" width="1.07421875" style="2636" customWidth="1"/>
    <col min="3353" max="3353" width="0.765625" style="2636" customWidth="1"/>
    <col min="3354" max="3354" width="9.53515625" style="2636" bestFit="1" customWidth="1"/>
    <col min="3355" max="3356" width="0.765625" style="2636" customWidth="1"/>
    <col min="3357" max="3357" width="9.765625" style="2636" customWidth="1"/>
    <col min="3358" max="3358" width="1.07421875" style="2636" customWidth="1"/>
    <col min="3359" max="3359" width="8.53515625" style="2636" customWidth="1"/>
    <col min="3360" max="3360" width="14.53515625" style="2636" customWidth="1"/>
    <col min="3361" max="3361" width="10" style="2636" customWidth="1"/>
    <col min="3362" max="3362" width="7.765625" style="2636" bestFit="1" customWidth="1"/>
    <col min="3363" max="3363" width="9.765625" style="2636" customWidth="1"/>
    <col min="3364" max="3580" width="8.765625" style="2636"/>
    <col min="3581" max="3581" width="38.4609375" style="2636" customWidth="1"/>
    <col min="3582" max="3582" width="8.53515625" style="2636" customWidth="1"/>
    <col min="3583" max="3583" width="1.07421875" style="2636" customWidth="1"/>
    <col min="3584" max="3584" width="8.765625" style="2636" customWidth="1"/>
    <col min="3585" max="3585" width="1.07421875" style="2636" customWidth="1"/>
    <col min="3586" max="3586" width="9.07421875" style="2636" customWidth="1"/>
    <col min="3587" max="3587" width="1.07421875" style="2636" customWidth="1"/>
    <col min="3588" max="3588" width="10" style="2636" customWidth="1"/>
    <col min="3589" max="3589" width="1.07421875" style="2636" customWidth="1"/>
    <col min="3590" max="3590" width="9.07421875" style="2636" customWidth="1"/>
    <col min="3591" max="3591" width="1.07421875" style="2636" customWidth="1"/>
    <col min="3592" max="3592" width="11.07421875" style="2636" customWidth="1"/>
    <col min="3593" max="3593" width="1.07421875" style="2636" customWidth="1"/>
    <col min="3594" max="3594" width="9.07421875" style="2636" customWidth="1"/>
    <col min="3595" max="3595" width="1.765625" style="2636" customWidth="1"/>
    <col min="3596" max="3596" width="11" style="2636" customWidth="1"/>
    <col min="3597" max="3597" width="1.07421875" style="2636" customWidth="1"/>
    <col min="3598" max="3598" width="10.765625" style="2636" customWidth="1"/>
    <col min="3599" max="3599" width="1.07421875" style="2636" customWidth="1"/>
    <col min="3600" max="3600" width="10" style="2636" customWidth="1"/>
    <col min="3601" max="3601" width="1.07421875" style="2636" customWidth="1"/>
    <col min="3602" max="3602" width="9.07421875" style="2636" customWidth="1"/>
    <col min="3603" max="3603" width="1.07421875" style="2636" customWidth="1"/>
    <col min="3604" max="3604" width="7.765625" style="2636" customWidth="1"/>
    <col min="3605" max="3605" width="1.07421875" style="2636" customWidth="1"/>
    <col min="3606" max="3606" width="0.765625" style="2636" customWidth="1"/>
    <col min="3607" max="3607" width="9.07421875" style="2636" customWidth="1"/>
    <col min="3608" max="3608" width="1.07421875" style="2636" customWidth="1"/>
    <col min="3609" max="3609" width="0.765625" style="2636" customWidth="1"/>
    <col min="3610" max="3610" width="9.53515625" style="2636" bestFit="1" customWidth="1"/>
    <col min="3611" max="3612" width="0.765625" style="2636" customWidth="1"/>
    <col min="3613" max="3613" width="9.765625" style="2636" customWidth="1"/>
    <col min="3614" max="3614" width="1.07421875" style="2636" customWidth="1"/>
    <col min="3615" max="3615" width="8.53515625" style="2636" customWidth="1"/>
    <col min="3616" max="3616" width="14.53515625" style="2636" customWidth="1"/>
    <col min="3617" max="3617" width="10" style="2636" customWidth="1"/>
    <col min="3618" max="3618" width="7.765625" style="2636" bestFit="1" customWidth="1"/>
    <col min="3619" max="3619" width="9.765625" style="2636" customWidth="1"/>
    <col min="3620" max="3836" width="8.765625" style="2636"/>
    <col min="3837" max="3837" width="38.4609375" style="2636" customWidth="1"/>
    <col min="3838" max="3838" width="8.53515625" style="2636" customWidth="1"/>
    <col min="3839" max="3839" width="1.07421875" style="2636" customWidth="1"/>
    <col min="3840" max="3840" width="8.765625" style="2636" customWidth="1"/>
    <col min="3841" max="3841" width="1.07421875" style="2636" customWidth="1"/>
    <col min="3842" max="3842" width="9.07421875" style="2636" customWidth="1"/>
    <col min="3843" max="3843" width="1.07421875" style="2636" customWidth="1"/>
    <col min="3844" max="3844" width="10" style="2636" customWidth="1"/>
    <col min="3845" max="3845" width="1.07421875" style="2636" customWidth="1"/>
    <col min="3846" max="3846" width="9.07421875" style="2636" customWidth="1"/>
    <col min="3847" max="3847" width="1.07421875" style="2636" customWidth="1"/>
    <col min="3848" max="3848" width="11.07421875" style="2636" customWidth="1"/>
    <col min="3849" max="3849" width="1.07421875" style="2636" customWidth="1"/>
    <col min="3850" max="3850" width="9.07421875" style="2636" customWidth="1"/>
    <col min="3851" max="3851" width="1.765625" style="2636" customWidth="1"/>
    <col min="3852" max="3852" width="11" style="2636" customWidth="1"/>
    <col min="3853" max="3853" width="1.07421875" style="2636" customWidth="1"/>
    <col min="3854" max="3854" width="10.765625" style="2636" customWidth="1"/>
    <col min="3855" max="3855" width="1.07421875" style="2636" customWidth="1"/>
    <col min="3856" max="3856" width="10" style="2636" customWidth="1"/>
    <col min="3857" max="3857" width="1.07421875" style="2636" customWidth="1"/>
    <col min="3858" max="3858" width="9.07421875" style="2636" customWidth="1"/>
    <col min="3859" max="3859" width="1.07421875" style="2636" customWidth="1"/>
    <col min="3860" max="3860" width="7.765625" style="2636" customWidth="1"/>
    <col min="3861" max="3861" width="1.07421875" style="2636" customWidth="1"/>
    <col min="3862" max="3862" width="0.765625" style="2636" customWidth="1"/>
    <col min="3863" max="3863" width="9.07421875" style="2636" customWidth="1"/>
    <col min="3864" max="3864" width="1.07421875" style="2636" customWidth="1"/>
    <col min="3865" max="3865" width="0.765625" style="2636" customWidth="1"/>
    <col min="3866" max="3866" width="9.53515625" style="2636" bestFit="1" customWidth="1"/>
    <col min="3867" max="3868" width="0.765625" style="2636" customWidth="1"/>
    <col min="3869" max="3869" width="9.765625" style="2636" customWidth="1"/>
    <col min="3870" max="3870" width="1.07421875" style="2636" customWidth="1"/>
    <col min="3871" max="3871" width="8.53515625" style="2636" customWidth="1"/>
    <col min="3872" max="3872" width="14.53515625" style="2636" customWidth="1"/>
    <col min="3873" max="3873" width="10" style="2636" customWidth="1"/>
    <col min="3874" max="3874" width="7.765625" style="2636" bestFit="1" customWidth="1"/>
    <col min="3875" max="3875" width="9.765625" style="2636" customWidth="1"/>
    <col min="3876" max="4092" width="8.765625" style="2636"/>
    <col min="4093" max="4093" width="38.4609375" style="2636" customWidth="1"/>
    <col min="4094" max="4094" width="8.53515625" style="2636" customWidth="1"/>
    <col min="4095" max="4095" width="1.07421875" style="2636" customWidth="1"/>
    <col min="4096" max="4096" width="8.765625" style="2636" customWidth="1"/>
    <col min="4097" max="4097" width="1.07421875" style="2636" customWidth="1"/>
    <col min="4098" max="4098" width="9.07421875" style="2636" customWidth="1"/>
    <col min="4099" max="4099" width="1.07421875" style="2636" customWidth="1"/>
    <col min="4100" max="4100" width="10" style="2636" customWidth="1"/>
    <col min="4101" max="4101" width="1.07421875" style="2636" customWidth="1"/>
    <col min="4102" max="4102" width="9.07421875" style="2636" customWidth="1"/>
    <col min="4103" max="4103" width="1.07421875" style="2636" customWidth="1"/>
    <col min="4104" max="4104" width="11.07421875" style="2636" customWidth="1"/>
    <col min="4105" max="4105" width="1.07421875" style="2636" customWidth="1"/>
    <col min="4106" max="4106" width="9.07421875" style="2636" customWidth="1"/>
    <col min="4107" max="4107" width="1.765625" style="2636" customWidth="1"/>
    <col min="4108" max="4108" width="11" style="2636" customWidth="1"/>
    <col min="4109" max="4109" width="1.07421875" style="2636" customWidth="1"/>
    <col min="4110" max="4110" width="10.765625" style="2636" customWidth="1"/>
    <col min="4111" max="4111" width="1.07421875" style="2636" customWidth="1"/>
    <col min="4112" max="4112" width="10" style="2636" customWidth="1"/>
    <col min="4113" max="4113" width="1.07421875" style="2636" customWidth="1"/>
    <col min="4114" max="4114" width="9.07421875" style="2636" customWidth="1"/>
    <col min="4115" max="4115" width="1.07421875" style="2636" customWidth="1"/>
    <col min="4116" max="4116" width="7.765625" style="2636" customWidth="1"/>
    <col min="4117" max="4117" width="1.07421875" style="2636" customWidth="1"/>
    <col min="4118" max="4118" width="0.765625" style="2636" customWidth="1"/>
    <col min="4119" max="4119" width="9.07421875" style="2636" customWidth="1"/>
    <col min="4120" max="4120" width="1.07421875" style="2636" customWidth="1"/>
    <col min="4121" max="4121" width="0.765625" style="2636" customWidth="1"/>
    <col min="4122" max="4122" width="9.53515625" style="2636" bestFit="1" customWidth="1"/>
    <col min="4123" max="4124" width="0.765625" style="2636" customWidth="1"/>
    <col min="4125" max="4125" width="9.765625" style="2636" customWidth="1"/>
    <col min="4126" max="4126" width="1.07421875" style="2636" customWidth="1"/>
    <col min="4127" max="4127" width="8.53515625" style="2636" customWidth="1"/>
    <col min="4128" max="4128" width="14.53515625" style="2636" customWidth="1"/>
    <col min="4129" max="4129" width="10" style="2636" customWidth="1"/>
    <col min="4130" max="4130" width="7.765625" style="2636" bestFit="1" customWidth="1"/>
    <col min="4131" max="4131" width="9.765625" style="2636" customWidth="1"/>
    <col min="4132" max="4348" width="8.765625" style="2636"/>
    <col min="4349" max="4349" width="38.4609375" style="2636" customWidth="1"/>
    <col min="4350" max="4350" width="8.53515625" style="2636" customWidth="1"/>
    <col min="4351" max="4351" width="1.07421875" style="2636" customWidth="1"/>
    <col min="4352" max="4352" width="8.765625" style="2636" customWidth="1"/>
    <col min="4353" max="4353" width="1.07421875" style="2636" customWidth="1"/>
    <col min="4354" max="4354" width="9.07421875" style="2636" customWidth="1"/>
    <col min="4355" max="4355" width="1.07421875" style="2636" customWidth="1"/>
    <col min="4356" max="4356" width="10" style="2636" customWidth="1"/>
    <col min="4357" max="4357" width="1.07421875" style="2636" customWidth="1"/>
    <col min="4358" max="4358" width="9.07421875" style="2636" customWidth="1"/>
    <col min="4359" max="4359" width="1.07421875" style="2636" customWidth="1"/>
    <col min="4360" max="4360" width="11.07421875" style="2636" customWidth="1"/>
    <col min="4361" max="4361" width="1.07421875" style="2636" customWidth="1"/>
    <col min="4362" max="4362" width="9.07421875" style="2636" customWidth="1"/>
    <col min="4363" max="4363" width="1.765625" style="2636" customWidth="1"/>
    <col min="4364" max="4364" width="11" style="2636" customWidth="1"/>
    <col min="4365" max="4365" width="1.07421875" style="2636" customWidth="1"/>
    <col min="4366" max="4366" width="10.765625" style="2636" customWidth="1"/>
    <col min="4367" max="4367" width="1.07421875" style="2636" customWidth="1"/>
    <col min="4368" max="4368" width="10" style="2636" customWidth="1"/>
    <col min="4369" max="4369" width="1.07421875" style="2636" customWidth="1"/>
    <col min="4370" max="4370" width="9.07421875" style="2636" customWidth="1"/>
    <col min="4371" max="4371" width="1.07421875" style="2636" customWidth="1"/>
    <col min="4372" max="4372" width="7.765625" style="2636" customWidth="1"/>
    <col min="4373" max="4373" width="1.07421875" style="2636" customWidth="1"/>
    <col min="4374" max="4374" width="0.765625" style="2636" customWidth="1"/>
    <col min="4375" max="4375" width="9.07421875" style="2636" customWidth="1"/>
    <col min="4376" max="4376" width="1.07421875" style="2636" customWidth="1"/>
    <col min="4377" max="4377" width="0.765625" style="2636" customWidth="1"/>
    <col min="4378" max="4378" width="9.53515625" style="2636" bestFit="1" customWidth="1"/>
    <col min="4379" max="4380" width="0.765625" style="2636" customWidth="1"/>
    <col min="4381" max="4381" width="9.765625" style="2636" customWidth="1"/>
    <col min="4382" max="4382" width="1.07421875" style="2636" customWidth="1"/>
    <col min="4383" max="4383" width="8.53515625" style="2636" customWidth="1"/>
    <col min="4384" max="4384" width="14.53515625" style="2636" customWidth="1"/>
    <col min="4385" max="4385" width="10" style="2636" customWidth="1"/>
    <col min="4386" max="4386" width="7.765625" style="2636" bestFit="1" customWidth="1"/>
    <col min="4387" max="4387" width="9.765625" style="2636" customWidth="1"/>
    <col min="4388" max="4604" width="8.765625" style="2636"/>
    <col min="4605" max="4605" width="38.4609375" style="2636" customWidth="1"/>
    <col min="4606" max="4606" width="8.53515625" style="2636" customWidth="1"/>
    <col min="4607" max="4607" width="1.07421875" style="2636" customWidth="1"/>
    <col min="4608" max="4608" width="8.765625" style="2636" customWidth="1"/>
    <col min="4609" max="4609" width="1.07421875" style="2636" customWidth="1"/>
    <col min="4610" max="4610" width="9.07421875" style="2636" customWidth="1"/>
    <col min="4611" max="4611" width="1.07421875" style="2636" customWidth="1"/>
    <col min="4612" max="4612" width="10" style="2636" customWidth="1"/>
    <col min="4613" max="4613" width="1.07421875" style="2636" customWidth="1"/>
    <col min="4614" max="4614" width="9.07421875" style="2636" customWidth="1"/>
    <col min="4615" max="4615" width="1.07421875" style="2636" customWidth="1"/>
    <col min="4616" max="4616" width="11.07421875" style="2636" customWidth="1"/>
    <col min="4617" max="4617" width="1.07421875" style="2636" customWidth="1"/>
    <col min="4618" max="4618" width="9.07421875" style="2636" customWidth="1"/>
    <col min="4619" max="4619" width="1.765625" style="2636" customWidth="1"/>
    <col min="4620" max="4620" width="11" style="2636" customWidth="1"/>
    <col min="4621" max="4621" width="1.07421875" style="2636" customWidth="1"/>
    <col min="4622" max="4622" width="10.765625" style="2636" customWidth="1"/>
    <col min="4623" max="4623" width="1.07421875" style="2636" customWidth="1"/>
    <col min="4624" max="4624" width="10" style="2636" customWidth="1"/>
    <col min="4625" max="4625" width="1.07421875" style="2636" customWidth="1"/>
    <col min="4626" max="4626" width="9.07421875" style="2636" customWidth="1"/>
    <col min="4627" max="4627" width="1.07421875" style="2636" customWidth="1"/>
    <col min="4628" max="4628" width="7.765625" style="2636" customWidth="1"/>
    <col min="4629" max="4629" width="1.07421875" style="2636" customWidth="1"/>
    <col min="4630" max="4630" width="0.765625" style="2636" customWidth="1"/>
    <col min="4631" max="4631" width="9.07421875" style="2636" customWidth="1"/>
    <col min="4632" max="4632" width="1.07421875" style="2636" customWidth="1"/>
    <col min="4633" max="4633" width="0.765625" style="2636" customWidth="1"/>
    <col min="4634" max="4634" width="9.53515625" style="2636" bestFit="1" customWidth="1"/>
    <col min="4635" max="4636" width="0.765625" style="2636" customWidth="1"/>
    <col min="4637" max="4637" width="9.765625" style="2636" customWidth="1"/>
    <col min="4638" max="4638" width="1.07421875" style="2636" customWidth="1"/>
    <col min="4639" max="4639" width="8.53515625" style="2636" customWidth="1"/>
    <col min="4640" max="4640" width="14.53515625" style="2636" customWidth="1"/>
    <col min="4641" max="4641" width="10" style="2636" customWidth="1"/>
    <col min="4642" max="4642" width="7.765625" style="2636" bestFit="1" customWidth="1"/>
    <col min="4643" max="4643" width="9.765625" style="2636" customWidth="1"/>
    <col min="4644" max="4860" width="8.765625" style="2636"/>
    <col min="4861" max="4861" width="38.4609375" style="2636" customWidth="1"/>
    <col min="4862" max="4862" width="8.53515625" style="2636" customWidth="1"/>
    <col min="4863" max="4863" width="1.07421875" style="2636" customWidth="1"/>
    <col min="4864" max="4864" width="8.765625" style="2636" customWidth="1"/>
    <col min="4865" max="4865" width="1.07421875" style="2636" customWidth="1"/>
    <col min="4866" max="4866" width="9.07421875" style="2636" customWidth="1"/>
    <col min="4867" max="4867" width="1.07421875" style="2636" customWidth="1"/>
    <col min="4868" max="4868" width="10" style="2636" customWidth="1"/>
    <col min="4869" max="4869" width="1.07421875" style="2636" customWidth="1"/>
    <col min="4870" max="4870" width="9.07421875" style="2636" customWidth="1"/>
    <col min="4871" max="4871" width="1.07421875" style="2636" customWidth="1"/>
    <col min="4872" max="4872" width="11.07421875" style="2636" customWidth="1"/>
    <col min="4873" max="4873" width="1.07421875" style="2636" customWidth="1"/>
    <col min="4874" max="4874" width="9.07421875" style="2636" customWidth="1"/>
    <col min="4875" max="4875" width="1.765625" style="2636" customWidth="1"/>
    <col min="4876" max="4876" width="11" style="2636" customWidth="1"/>
    <col min="4877" max="4877" width="1.07421875" style="2636" customWidth="1"/>
    <col min="4878" max="4878" width="10.765625" style="2636" customWidth="1"/>
    <col min="4879" max="4879" width="1.07421875" style="2636" customWidth="1"/>
    <col min="4880" max="4880" width="10" style="2636" customWidth="1"/>
    <col min="4881" max="4881" width="1.07421875" style="2636" customWidth="1"/>
    <col min="4882" max="4882" width="9.07421875" style="2636" customWidth="1"/>
    <col min="4883" max="4883" width="1.07421875" style="2636" customWidth="1"/>
    <col min="4884" max="4884" width="7.765625" style="2636" customWidth="1"/>
    <col min="4885" max="4885" width="1.07421875" style="2636" customWidth="1"/>
    <col min="4886" max="4886" width="0.765625" style="2636" customWidth="1"/>
    <col min="4887" max="4887" width="9.07421875" style="2636" customWidth="1"/>
    <col min="4888" max="4888" width="1.07421875" style="2636" customWidth="1"/>
    <col min="4889" max="4889" width="0.765625" style="2636" customWidth="1"/>
    <col min="4890" max="4890" width="9.53515625" style="2636" bestFit="1" customWidth="1"/>
    <col min="4891" max="4892" width="0.765625" style="2636" customWidth="1"/>
    <col min="4893" max="4893" width="9.765625" style="2636" customWidth="1"/>
    <col min="4894" max="4894" width="1.07421875" style="2636" customWidth="1"/>
    <col min="4895" max="4895" width="8.53515625" style="2636" customWidth="1"/>
    <col min="4896" max="4896" width="14.53515625" style="2636" customWidth="1"/>
    <col min="4897" max="4897" width="10" style="2636" customWidth="1"/>
    <col min="4898" max="4898" width="7.765625" style="2636" bestFit="1" customWidth="1"/>
    <col min="4899" max="4899" width="9.765625" style="2636" customWidth="1"/>
    <col min="4900" max="5116" width="8.765625" style="2636"/>
    <col min="5117" max="5117" width="38.4609375" style="2636" customWidth="1"/>
    <col min="5118" max="5118" width="8.53515625" style="2636" customWidth="1"/>
    <col min="5119" max="5119" width="1.07421875" style="2636" customWidth="1"/>
    <col min="5120" max="5120" width="8.765625" style="2636" customWidth="1"/>
    <col min="5121" max="5121" width="1.07421875" style="2636" customWidth="1"/>
    <col min="5122" max="5122" width="9.07421875" style="2636" customWidth="1"/>
    <col min="5123" max="5123" width="1.07421875" style="2636" customWidth="1"/>
    <col min="5124" max="5124" width="10" style="2636" customWidth="1"/>
    <col min="5125" max="5125" width="1.07421875" style="2636" customWidth="1"/>
    <col min="5126" max="5126" width="9.07421875" style="2636" customWidth="1"/>
    <col min="5127" max="5127" width="1.07421875" style="2636" customWidth="1"/>
    <col min="5128" max="5128" width="11.07421875" style="2636" customWidth="1"/>
    <col min="5129" max="5129" width="1.07421875" style="2636" customWidth="1"/>
    <col min="5130" max="5130" width="9.07421875" style="2636" customWidth="1"/>
    <col min="5131" max="5131" width="1.765625" style="2636" customWidth="1"/>
    <col min="5132" max="5132" width="11" style="2636" customWidth="1"/>
    <col min="5133" max="5133" width="1.07421875" style="2636" customWidth="1"/>
    <col min="5134" max="5134" width="10.765625" style="2636" customWidth="1"/>
    <col min="5135" max="5135" width="1.07421875" style="2636" customWidth="1"/>
    <col min="5136" max="5136" width="10" style="2636" customWidth="1"/>
    <col min="5137" max="5137" width="1.07421875" style="2636" customWidth="1"/>
    <col min="5138" max="5138" width="9.07421875" style="2636" customWidth="1"/>
    <col min="5139" max="5139" width="1.07421875" style="2636" customWidth="1"/>
    <col min="5140" max="5140" width="7.765625" style="2636" customWidth="1"/>
    <col min="5141" max="5141" width="1.07421875" style="2636" customWidth="1"/>
    <col min="5142" max="5142" width="0.765625" style="2636" customWidth="1"/>
    <col min="5143" max="5143" width="9.07421875" style="2636" customWidth="1"/>
    <col min="5144" max="5144" width="1.07421875" style="2636" customWidth="1"/>
    <col min="5145" max="5145" width="0.765625" style="2636" customWidth="1"/>
    <col min="5146" max="5146" width="9.53515625" style="2636" bestFit="1" customWidth="1"/>
    <col min="5147" max="5148" width="0.765625" style="2636" customWidth="1"/>
    <col min="5149" max="5149" width="9.765625" style="2636" customWidth="1"/>
    <col min="5150" max="5150" width="1.07421875" style="2636" customWidth="1"/>
    <col min="5151" max="5151" width="8.53515625" style="2636" customWidth="1"/>
    <col min="5152" max="5152" width="14.53515625" style="2636" customWidth="1"/>
    <col min="5153" max="5153" width="10" style="2636" customWidth="1"/>
    <col min="5154" max="5154" width="7.765625" style="2636" bestFit="1" customWidth="1"/>
    <col min="5155" max="5155" width="9.765625" style="2636" customWidth="1"/>
    <col min="5156" max="5372" width="8.765625" style="2636"/>
    <col min="5373" max="5373" width="38.4609375" style="2636" customWidth="1"/>
    <col min="5374" max="5374" width="8.53515625" style="2636" customWidth="1"/>
    <col min="5375" max="5375" width="1.07421875" style="2636" customWidth="1"/>
    <col min="5376" max="5376" width="8.765625" style="2636" customWidth="1"/>
    <col min="5377" max="5377" width="1.07421875" style="2636" customWidth="1"/>
    <col min="5378" max="5378" width="9.07421875" style="2636" customWidth="1"/>
    <col min="5379" max="5379" width="1.07421875" style="2636" customWidth="1"/>
    <col min="5380" max="5380" width="10" style="2636" customWidth="1"/>
    <col min="5381" max="5381" width="1.07421875" style="2636" customWidth="1"/>
    <col min="5382" max="5382" width="9.07421875" style="2636" customWidth="1"/>
    <col min="5383" max="5383" width="1.07421875" style="2636" customWidth="1"/>
    <col min="5384" max="5384" width="11.07421875" style="2636" customWidth="1"/>
    <col min="5385" max="5385" width="1.07421875" style="2636" customWidth="1"/>
    <col min="5386" max="5386" width="9.07421875" style="2636" customWidth="1"/>
    <col min="5387" max="5387" width="1.765625" style="2636" customWidth="1"/>
    <col min="5388" max="5388" width="11" style="2636" customWidth="1"/>
    <col min="5389" max="5389" width="1.07421875" style="2636" customWidth="1"/>
    <col min="5390" max="5390" width="10.765625" style="2636" customWidth="1"/>
    <col min="5391" max="5391" width="1.07421875" style="2636" customWidth="1"/>
    <col min="5392" max="5392" width="10" style="2636" customWidth="1"/>
    <col min="5393" max="5393" width="1.07421875" style="2636" customWidth="1"/>
    <col min="5394" max="5394" width="9.07421875" style="2636" customWidth="1"/>
    <col min="5395" max="5395" width="1.07421875" style="2636" customWidth="1"/>
    <col min="5396" max="5396" width="7.765625" style="2636" customWidth="1"/>
    <col min="5397" max="5397" width="1.07421875" style="2636" customWidth="1"/>
    <col min="5398" max="5398" width="0.765625" style="2636" customWidth="1"/>
    <col min="5399" max="5399" width="9.07421875" style="2636" customWidth="1"/>
    <col min="5400" max="5400" width="1.07421875" style="2636" customWidth="1"/>
    <col min="5401" max="5401" width="0.765625" style="2636" customWidth="1"/>
    <col min="5402" max="5402" width="9.53515625" style="2636" bestFit="1" customWidth="1"/>
    <col min="5403" max="5404" width="0.765625" style="2636" customWidth="1"/>
    <col min="5405" max="5405" width="9.765625" style="2636" customWidth="1"/>
    <col min="5406" max="5406" width="1.07421875" style="2636" customWidth="1"/>
    <col min="5407" max="5407" width="8.53515625" style="2636" customWidth="1"/>
    <col min="5408" max="5408" width="14.53515625" style="2636" customWidth="1"/>
    <col min="5409" max="5409" width="10" style="2636" customWidth="1"/>
    <col min="5410" max="5410" width="7.765625" style="2636" bestFit="1" customWidth="1"/>
    <col min="5411" max="5411" width="9.765625" style="2636" customWidth="1"/>
    <col min="5412" max="5628" width="8.765625" style="2636"/>
    <col min="5629" max="5629" width="38.4609375" style="2636" customWidth="1"/>
    <col min="5630" max="5630" width="8.53515625" style="2636" customWidth="1"/>
    <col min="5631" max="5631" width="1.07421875" style="2636" customWidth="1"/>
    <col min="5632" max="5632" width="8.765625" style="2636" customWidth="1"/>
    <col min="5633" max="5633" width="1.07421875" style="2636" customWidth="1"/>
    <col min="5634" max="5634" width="9.07421875" style="2636" customWidth="1"/>
    <col min="5635" max="5635" width="1.07421875" style="2636" customWidth="1"/>
    <col min="5636" max="5636" width="10" style="2636" customWidth="1"/>
    <col min="5637" max="5637" width="1.07421875" style="2636" customWidth="1"/>
    <col min="5638" max="5638" width="9.07421875" style="2636" customWidth="1"/>
    <col min="5639" max="5639" width="1.07421875" style="2636" customWidth="1"/>
    <col min="5640" max="5640" width="11.07421875" style="2636" customWidth="1"/>
    <col min="5641" max="5641" width="1.07421875" style="2636" customWidth="1"/>
    <col min="5642" max="5642" width="9.07421875" style="2636" customWidth="1"/>
    <col min="5643" max="5643" width="1.765625" style="2636" customWidth="1"/>
    <col min="5644" max="5644" width="11" style="2636" customWidth="1"/>
    <col min="5645" max="5645" width="1.07421875" style="2636" customWidth="1"/>
    <col min="5646" max="5646" width="10.765625" style="2636" customWidth="1"/>
    <col min="5647" max="5647" width="1.07421875" style="2636" customWidth="1"/>
    <col min="5648" max="5648" width="10" style="2636" customWidth="1"/>
    <col min="5649" max="5649" width="1.07421875" style="2636" customWidth="1"/>
    <col min="5650" max="5650" width="9.07421875" style="2636" customWidth="1"/>
    <col min="5651" max="5651" width="1.07421875" style="2636" customWidth="1"/>
    <col min="5652" max="5652" width="7.765625" style="2636" customWidth="1"/>
    <col min="5653" max="5653" width="1.07421875" style="2636" customWidth="1"/>
    <col min="5654" max="5654" width="0.765625" style="2636" customWidth="1"/>
    <col min="5655" max="5655" width="9.07421875" style="2636" customWidth="1"/>
    <col min="5656" max="5656" width="1.07421875" style="2636" customWidth="1"/>
    <col min="5657" max="5657" width="0.765625" style="2636" customWidth="1"/>
    <col min="5658" max="5658" width="9.53515625" style="2636" bestFit="1" customWidth="1"/>
    <col min="5659" max="5660" width="0.765625" style="2636" customWidth="1"/>
    <col min="5661" max="5661" width="9.765625" style="2636" customWidth="1"/>
    <col min="5662" max="5662" width="1.07421875" style="2636" customWidth="1"/>
    <col min="5663" max="5663" width="8.53515625" style="2636" customWidth="1"/>
    <col min="5664" max="5664" width="14.53515625" style="2636" customWidth="1"/>
    <col min="5665" max="5665" width="10" style="2636" customWidth="1"/>
    <col min="5666" max="5666" width="7.765625" style="2636" bestFit="1" customWidth="1"/>
    <col min="5667" max="5667" width="9.765625" style="2636" customWidth="1"/>
    <col min="5668" max="5884" width="8.765625" style="2636"/>
    <col min="5885" max="5885" width="38.4609375" style="2636" customWidth="1"/>
    <col min="5886" max="5886" width="8.53515625" style="2636" customWidth="1"/>
    <col min="5887" max="5887" width="1.07421875" style="2636" customWidth="1"/>
    <col min="5888" max="5888" width="8.765625" style="2636" customWidth="1"/>
    <col min="5889" max="5889" width="1.07421875" style="2636" customWidth="1"/>
    <col min="5890" max="5890" width="9.07421875" style="2636" customWidth="1"/>
    <col min="5891" max="5891" width="1.07421875" style="2636" customWidth="1"/>
    <col min="5892" max="5892" width="10" style="2636" customWidth="1"/>
    <col min="5893" max="5893" width="1.07421875" style="2636" customWidth="1"/>
    <col min="5894" max="5894" width="9.07421875" style="2636" customWidth="1"/>
    <col min="5895" max="5895" width="1.07421875" style="2636" customWidth="1"/>
    <col min="5896" max="5896" width="11.07421875" style="2636" customWidth="1"/>
    <col min="5897" max="5897" width="1.07421875" style="2636" customWidth="1"/>
    <col min="5898" max="5898" width="9.07421875" style="2636" customWidth="1"/>
    <col min="5899" max="5899" width="1.765625" style="2636" customWidth="1"/>
    <col min="5900" max="5900" width="11" style="2636" customWidth="1"/>
    <col min="5901" max="5901" width="1.07421875" style="2636" customWidth="1"/>
    <col min="5902" max="5902" width="10.765625" style="2636" customWidth="1"/>
    <col min="5903" max="5903" width="1.07421875" style="2636" customWidth="1"/>
    <col min="5904" max="5904" width="10" style="2636" customWidth="1"/>
    <col min="5905" max="5905" width="1.07421875" style="2636" customWidth="1"/>
    <col min="5906" max="5906" width="9.07421875" style="2636" customWidth="1"/>
    <col min="5907" max="5907" width="1.07421875" style="2636" customWidth="1"/>
    <col min="5908" max="5908" width="7.765625" style="2636" customWidth="1"/>
    <col min="5909" max="5909" width="1.07421875" style="2636" customWidth="1"/>
    <col min="5910" max="5910" width="0.765625" style="2636" customWidth="1"/>
    <col min="5911" max="5911" width="9.07421875" style="2636" customWidth="1"/>
    <col min="5912" max="5912" width="1.07421875" style="2636" customWidth="1"/>
    <col min="5913" max="5913" width="0.765625" style="2636" customWidth="1"/>
    <col min="5914" max="5914" width="9.53515625" style="2636" bestFit="1" customWidth="1"/>
    <col min="5915" max="5916" width="0.765625" style="2636" customWidth="1"/>
    <col min="5917" max="5917" width="9.765625" style="2636" customWidth="1"/>
    <col min="5918" max="5918" width="1.07421875" style="2636" customWidth="1"/>
    <col min="5919" max="5919" width="8.53515625" style="2636" customWidth="1"/>
    <col min="5920" max="5920" width="14.53515625" style="2636" customWidth="1"/>
    <col min="5921" max="5921" width="10" style="2636" customWidth="1"/>
    <col min="5922" max="5922" width="7.765625" style="2636" bestFit="1" customWidth="1"/>
    <col min="5923" max="5923" width="9.765625" style="2636" customWidth="1"/>
    <col min="5924" max="6140" width="8.765625" style="2636"/>
    <col min="6141" max="6141" width="38.4609375" style="2636" customWidth="1"/>
    <col min="6142" max="6142" width="8.53515625" style="2636" customWidth="1"/>
    <col min="6143" max="6143" width="1.07421875" style="2636" customWidth="1"/>
    <col min="6144" max="6144" width="8.765625" style="2636" customWidth="1"/>
    <col min="6145" max="6145" width="1.07421875" style="2636" customWidth="1"/>
    <col min="6146" max="6146" width="9.07421875" style="2636" customWidth="1"/>
    <col min="6147" max="6147" width="1.07421875" style="2636" customWidth="1"/>
    <col min="6148" max="6148" width="10" style="2636" customWidth="1"/>
    <col min="6149" max="6149" width="1.07421875" style="2636" customWidth="1"/>
    <col min="6150" max="6150" width="9.07421875" style="2636" customWidth="1"/>
    <col min="6151" max="6151" width="1.07421875" style="2636" customWidth="1"/>
    <col min="6152" max="6152" width="11.07421875" style="2636" customWidth="1"/>
    <col min="6153" max="6153" width="1.07421875" style="2636" customWidth="1"/>
    <col min="6154" max="6154" width="9.07421875" style="2636" customWidth="1"/>
    <col min="6155" max="6155" width="1.765625" style="2636" customWidth="1"/>
    <col min="6156" max="6156" width="11" style="2636" customWidth="1"/>
    <col min="6157" max="6157" width="1.07421875" style="2636" customWidth="1"/>
    <col min="6158" max="6158" width="10.765625" style="2636" customWidth="1"/>
    <col min="6159" max="6159" width="1.07421875" style="2636" customWidth="1"/>
    <col min="6160" max="6160" width="10" style="2636" customWidth="1"/>
    <col min="6161" max="6161" width="1.07421875" style="2636" customWidth="1"/>
    <col min="6162" max="6162" width="9.07421875" style="2636" customWidth="1"/>
    <col min="6163" max="6163" width="1.07421875" style="2636" customWidth="1"/>
    <col min="6164" max="6164" width="7.765625" style="2636" customWidth="1"/>
    <col min="6165" max="6165" width="1.07421875" style="2636" customWidth="1"/>
    <col min="6166" max="6166" width="0.765625" style="2636" customWidth="1"/>
    <col min="6167" max="6167" width="9.07421875" style="2636" customWidth="1"/>
    <col min="6168" max="6168" width="1.07421875" style="2636" customWidth="1"/>
    <col min="6169" max="6169" width="0.765625" style="2636" customWidth="1"/>
    <col min="6170" max="6170" width="9.53515625" style="2636" bestFit="1" customWidth="1"/>
    <col min="6171" max="6172" width="0.765625" style="2636" customWidth="1"/>
    <col min="6173" max="6173" width="9.765625" style="2636" customWidth="1"/>
    <col min="6174" max="6174" width="1.07421875" style="2636" customWidth="1"/>
    <col min="6175" max="6175" width="8.53515625" style="2636" customWidth="1"/>
    <col min="6176" max="6176" width="14.53515625" style="2636" customWidth="1"/>
    <col min="6177" max="6177" width="10" style="2636" customWidth="1"/>
    <col min="6178" max="6178" width="7.765625" style="2636" bestFit="1" customWidth="1"/>
    <col min="6179" max="6179" width="9.765625" style="2636" customWidth="1"/>
    <col min="6180" max="6396" width="8.765625" style="2636"/>
    <col min="6397" max="6397" width="38.4609375" style="2636" customWidth="1"/>
    <col min="6398" max="6398" width="8.53515625" style="2636" customWidth="1"/>
    <col min="6399" max="6399" width="1.07421875" style="2636" customWidth="1"/>
    <col min="6400" max="6400" width="8.765625" style="2636" customWidth="1"/>
    <col min="6401" max="6401" width="1.07421875" style="2636" customWidth="1"/>
    <col min="6402" max="6402" width="9.07421875" style="2636" customWidth="1"/>
    <col min="6403" max="6403" width="1.07421875" style="2636" customWidth="1"/>
    <col min="6404" max="6404" width="10" style="2636" customWidth="1"/>
    <col min="6405" max="6405" width="1.07421875" style="2636" customWidth="1"/>
    <col min="6406" max="6406" width="9.07421875" style="2636" customWidth="1"/>
    <col min="6407" max="6407" width="1.07421875" style="2636" customWidth="1"/>
    <col min="6408" max="6408" width="11.07421875" style="2636" customWidth="1"/>
    <col min="6409" max="6409" width="1.07421875" style="2636" customWidth="1"/>
    <col min="6410" max="6410" width="9.07421875" style="2636" customWidth="1"/>
    <col min="6411" max="6411" width="1.765625" style="2636" customWidth="1"/>
    <col min="6412" max="6412" width="11" style="2636" customWidth="1"/>
    <col min="6413" max="6413" width="1.07421875" style="2636" customWidth="1"/>
    <col min="6414" max="6414" width="10.765625" style="2636" customWidth="1"/>
    <col min="6415" max="6415" width="1.07421875" style="2636" customWidth="1"/>
    <col min="6416" max="6416" width="10" style="2636" customWidth="1"/>
    <col min="6417" max="6417" width="1.07421875" style="2636" customWidth="1"/>
    <col min="6418" max="6418" width="9.07421875" style="2636" customWidth="1"/>
    <col min="6419" max="6419" width="1.07421875" style="2636" customWidth="1"/>
    <col min="6420" max="6420" width="7.765625" style="2636" customWidth="1"/>
    <col min="6421" max="6421" width="1.07421875" style="2636" customWidth="1"/>
    <col min="6422" max="6422" width="0.765625" style="2636" customWidth="1"/>
    <col min="6423" max="6423" width="9.07421875" style="2636" customWidth="1"/>
    <col min="6424" max="6424" width="1.07421875" style="2636" customWidth="1"/>
    <col min="6425" max="6425" width="0.765625" style="2636" customWidth="1"/>
    <col min="6426" max="6426" width="9.53515625" style="2636" bestFit="1" customWidth="1"/>
    <col min="6427" max="6428" width="0.765625" style="2636" customWidth="1"/>
    <col min="6429" max="6429" width="9.765625" style="2636" customWidth="1"/>
    <col min="6430" max="6430" width="1.07421875" style="2636" customWidth="1"/>
    <col min="6431" max="6431" width="8.53515625" style="2636" customWidth="1"/>
    <col min="6432" max="6432" width="14.53515625" style="2636" customWidth="1"/>
    <col min="6433" max="6433" width="10" style="2636" customWidth="1"/>
    <col min="6434" max="6434" width="7.765625" style="2636" bestFit="1" customWidth="1"/>
    <col min="6435" max="6435" width="9.765625" style="2636" customWidth="1"/>
    <col min="6436" max="6652" width="8.765625" style="2636"/>
    <col min="6653" max="6653" width="38.4609375" style="2636" customWidth="1"/>
    <col min="6654" max="6654" width="8.53515625" style="2636" customWidth="1"/>
    <col min="6655" max="6655" width="1.07421875" style="2636" customWidth="1"/>
    <col min="6656" max="6656" width="8.765625" style="2636" customWidth="1"/>
    <col min="6657" max="6657" width="1.07421875" style="2636" customWidth="1"/>
    <col min="6658" max="6658" width="9.07421875" style="2636" customWidth="1"/>
    <col min="6659" max="6659" width="1.07421875" style="2636" customWidth="1"/>
    <col min="6660" max="6660" width="10" style="2636" customWidth="1"/>
    <col min="6661" max="6661" width="1.07421875" style="2636" customWidth="1"/>
    <col min="6662" max="6662" width="9.07421875" style="2636" customWidth="1"/>
    <col min="6663" max="6663" width="1.07421875" style="2636" customWidth="1"/>
    <col min="6664" max="6664" width="11.07421875" style="2636" customWidth="1"/>
    <col min="6665" max="6665" width="1.07421875" style="2636" customWidth="1"/>
    <col min="6666" max="6666" width="9.07421875" style="2636" customWidth="1"/>
    <col min="6667" max="6667" width="1.765625" style="2636" customWidth="1"/>
    <col min="6668" max="6668" width="11" style="2636" customWidth="1"/>
    <col min="6669" max="6669" width="1.07421875" style="2636" customWidth="1"/>
    <col min="6670" max="6670" width="10.765625" style="2636" customWidth="1"/>
    <col min="6671" max="6671" width="1.07421875" style="2636" customWidth="1"/>
    <col min="6672" max="6672" width="10" style="2636" customWidth="1"/>
    <col min="6673" max="6673" width="1.07421875" style="2636" customWidth="1"/>
    <col min="6674" max="6674" width="9.07421875" style="2636" customWidth="1"/>
    <col min="6675" max="6675" width="1.07421875" style="2636" customWidth="1"/>
    <col min="6676" max="6676" width="7.765625" style="2636" customWidth="1"/>
    <col min="6677" max="6677" width="1.07421875" style="2636" customWidth="1"/>
    <col min="6678" max="6678" width="0.765625" style="2636" customWidth="1"/>
    <col min="6679" max="6679" width="9.07421875" style="2636" customWidth="1"/>
    <col min="6680" max="6680" width="1.07421875" style="2636" customWidth="1"/>
    <col min="6681" max="6681" width="0.765625" style="2636" customWidth="1"/>
    <col min="6682" max="6682" width="9.53515625" style="2636" bestFit="1" customWidth="1"/>
    <col min="6683" max="6684" width="0.765625" style="2636" customWidth="1"/>
    <col min="6685" max="6685" width="9.765625" style="2636" customWidth="1"/>
    <col min="6686" max="6686" width="1.07421875" style="2636" customWidth="1"/>
    <col min="6687" max="6687" width="8.53515625" style="2636" customWidth="1"/>
    <col min="6688" max="6688" width="14.53515625" style="2636" customWidth="1"/>
    <col min="6689" max="6689" width="10" style="2636" customWidth="1"/>
    <col min="6690" max="6690" width="7.765625" style="2636" bestFit="1" customWidth="1"/>
    <col min="6691" max="6691" width="9.765625" style="2636" customWidth="1"/>
    <col min="6692" max="6908" width="8.765625" style="2636"/>
    <col min="6909" max="6909" width="38.4609375" style="2636" customWidth="1"/>
    <col min="6910" max="6910" width="8.53515625" style="2636" customWidth="1"/>
    <col min="6911" max="6911" width="1.07421875" style="2636" customWidth="1"/>
    <col min="6912" max="6912" width="8.765625" style="2636" customWidth="1"/>
    <col min="6913" max="6913" width="1.07421875" style="2636" customWidth="1"/>
    <col min="6914" max="6914" width="9.07421875" style="2636" customWidth="1"/>
    <col min="6915" max="6915" width="1.07421875" style="2636" customWidth="1"/>
    <col min="6916" max="6916" width="10" style="2636" customWidth="1"/>
    <col min="6917" max="6917" width="1.07421875" style="2636" customWidth="1"/>
    <col min="6918" max="6918" width="9.07421875" style="2636" customWidth="1"/>
    <col min="6919" max="6919" width="1.07421875" style="2636" customWidth="1"/>
    <col min="6920" max="6920" width="11.07421875" style="2636" customWidth="1"/>
    <col min="6921" max="6921" width="1.07421875" style="2636" customWidth="1"/>
    <col min="6922" max="6922" width="9.07421875" style="2636" customWidth="1"/>
    <col min="6923" max="6923" width="1.765625" style="2636" customWidth="1"/>
    <col min="6924" max="6924" width="11" style="2636" customWidth="1"/>
    <col min="6925" max="6925" width="1.07421875" style="2636" customWidth="1"/>
    <col min="6926" max="6926" width="10.765625" style="2636" customWidth="1"/>
    <col min="6927" max="6927" width="1.07421875" style="2636" customWidth="1"/>
    <col min="6928" max="6928" width="10" style="2636" customWidth="1"/>
    <col min="6929" max="6929" width="1.07421875" style="2636" customWidth="1"/>
    <col min="6930" max="6930" width="9.07421875" style="2636" customWidth="1"/>
    <col min="6931" max="6931" width="1.07421875" style="2636" customWidth="1"/>
    <col min="6932" max="6932" width="7.765625" style="2636" customWidth="1"/>
    <col min="6933" max="6933" width="1.07421875" style="2636" customWidth="1"/>
    <col min="6934" max="6934" width="0.765625" style="2636" customWidth="1"/>
    <col min="6935" max="6935" width="9.07421875" style="2636" customWidth="1"/>
    <col min="6936" max="6936" width="1.07421875" style="2636" customWidth="1"/>
    <col min="6937" max="6937" width="0.765625" style="2636" customWidth="1"/>
    <col min="6938" max="6938" width="9.53515625" style="2636" bestFit="1" customWidth="1"/>
    <col min="6939" max="6940" width="0.765625" style="2636" customWidth="1"/>
    <col min="6941" max="6941" width="9.765625" style="2636" customWidth="1"/>
    <col min="6942" max="6942" width="1.07421875" style="2636" customWidth="1"/>
    <col min="6943" max="6943" width="8.53515625" style="2636" customWidth="1"/>
    <col min="6944" max="6944" width="14.53515625" style="2636" customWidth="1"/>
    <col min="6945" max="6945" width="10" style="2636" customWidth="1"/>
    <col min="6946" max="6946" width="7.765625" style="2636" bestFit="1" customWidth="1"/>
    <col min="6947" max="6947" width="9.765625" style="2636" customWidth="1"/>
    <col min="6948" max="7164" width="8.765625" style="2636"/>
    <col min="7165" max="7165" width="38.4609375" style="2636" customWidth="1"/>
    <col min="7166" max="7166" width="8.53515625" style="2636" customWidth="1"/>
    <col min="7167" max="7167" width="1.07421875" style="2636" customWidth="1"/>
    <col min="7168" max="7168" width="8.765625" style="2636" customWidth="1"/>
    <col min="7169" max="7169" width="1.07421875" style="2636" customWidth="1"/>
    <col min="7170" max="7170" width="9.07421875" style="2636" customWidth="1"/>
    <col min="7171" max="7171" width="1.07421875" style="2636" customWidth="1"/>
    <col min="7172" max="7172" width="10" style="2636" customWidth="1"/>
    <col min="7173" max="7173" width="1.07421875" style="2636" customWidth="1"/>
    <col min="7174" max="7174" width="9.07421875" style="2636" customWidth="1"/>
    <col min="7175" max="7175" width="1.07421875" style="2636" customWidth="1"/>
    <col min="7176" max="7176" width="11.07421875" style="2636" customWidth="1"/>
    <col min="7177" max="7177" width="1.07421875" style="2636" customWidth="1"/>
    <col min="7178" max="7178" width="9.07421875" style="2636" customWidth="1"/>
    <col min="7179" max="7179" width="1.765625" style="2636" customWidth="1"/>
    <col min="7180" max="7180" width="11" style="2636" customWidth="1"/>
    <col min="7181" max="7181" width="1.07421875" style="2636" customWidth="1"/>
    <col min="7182" max="7182" width="10.765625" style="2636" customWidth="1"/>
    <col min="7183" max="7183" width="1.07421875" style="2636" customWidth="1"/>
    <col min="7184" max="7184" width="10" style="2636" customWidth="1"/>
    <col min="7185" max="7185" width="1.07421875" style="2636" customWidth="1"/>
    <col min="7186" max="7186" width="9.07421875" style="2636" customWidth="1"/>
    <col min="7187" max="7187" width="1.07421875" style="2636" customWidth="1"/>
    <col min="7188" max="7188" width="7.765625" style="2636" customWidth="1"/>
    <col min="7189" max="7189" width="1.07421875" style="2636" customWidth="1"/>
    <col min="7190" max="7190" width="0.765625" style="2636" customWidth="1"/>
    <col min="7191" max="7191" width="9.07421875" style="2636" customWidth="1"/>
    <col min="7192" max="7192" width="1.07421875" style="2636" customWidth="1"/>
    <col min="7193" max="7193" width="0.765625" style="2636" customWidth="1"/>
    <col min="7194" max="7194" width="9.53515625" style="2636" bestFit="1" customWidth="1"/>
    <col min="7195" max="7196" width="0.765625" style="2636" customWidth="1"/>
    <col min="7197" max="7197" width="9.765625" style="2636" customWidth="1"/>
    <col min="7198" max="7198" width="1.07421875" style="2636" customWidth="1"/>
    <col min="7199" max="7199" width="8.53515625" style="2636" customWidth="1"/>
    <col min="7200" max="7200" width="14.53515625" style="2636" customWidth="1"/>
    <col min="7201" max="7201" width="10" style="2636" customWidth="1"/>
    <col min="7202" max="7202" width="7.765625" style="2636" bestFit="1" customWidth="1"/>
    <col min="7203" max="7203" width="9.765625" style="2636" customWidth="1"/>
    <col min="7204" max="7420" width="8.765625" style="2636"/>
    <col min="7421" max="7421" width="38.4609375" style="2636" customWidth="1"/>
    <col min="7422" max="7422" width="8.53515625" style="2636" customWidth="1"/>
    <col min="7423" max="7423" width="1.07421875" style="2636" customWidth="1"/>
    <col min="7424" max="7424" width="8.765625" style="2636" customWidth="1"/>
    <col min="7425" max="7425" width="1.07421875" style="2636" customWidth="1"/>
    <col min="7426" max="7426" width="9.07421875" style="2636" customWidth="1"/>
    <col min="7427" max="7427" width="1.07421875" style="2636" customWidth="1"/>
    <col min="7428" max="7428" width="10" style="2636" customWidth="1"/>
    <col min="7429" max="7429" width="1.07421875" style="2636" customWidth="1"/>
    <col min="7430" max="7430" width="9.07421875" style="2636" customWidth="1"/>
    <col min="7431" max="7431" width="1.07421875" style="2636" customWidth="1"/>
    <col min="7432" max="7432" width="11.07421875" style="2636" customWidth="1"/>
    <col min="7433" max="7433" width="1.07421875" style="2636" customWidth="1"/>
    <col min="7434" max="7434" width="9.07421875" style="2636" customWidth="1"/>
    <col min="7435" max="7435" width="1.765625" style="2636" customWidth="1"/>
    <col min="7436" max="7436" width="11" style="2636" customWidth="1"/>
    <col min="7437" max="7437" width="1.07421875" style="2636" customWidth="1"/>
    <col min="7438" max="7438" width="10.765625" style="2636" customWidth="1"/>
    <col min="7439" max="7439" width="1.07421875" style="2636" customWidth="1"/>
    <col min="7440" max="7440" width="10" style="2636" customWidth="1"/>
    <col min="7441" max="7441" width="1.07421875" style="2636" customWidth="1"/>
    <col min="7442" max="7442" width="9.07421875" style="2636" customWidth="1"/>
    <col min="7443" max="7443" width="1.07421875" style="2636" customWidth="1"/>
    <col min="7444" max="7444" width="7.765625" style="2636" customWidth="1"/>
    <col min="7445" max="7445" width="1.07421875" style="2636" customWidth="1"/>
    <col min="7446" max="7446" width="0.765625" style="2636" customWidth="1"/>
    <col min="7447" max="7447" width="9.07421875" style="2636" customWidth="1"/>
    <col min="7448" max="7448" width="1.07421875" style="2636" customWidth="1"/>
    <col min="7449" max="7449" width="0.765625" style="2636" customWidth="1"/>
    <col min="7450" max="7450" width="9.53515625" style="2636" bestFit="1" customWidth="1"/>
    <col min="7451" max="7452" width="0.765625" style="2636" customWidth="1"/>
    <col min="7453" max="7453" width="9.765625" style="2636" customWidth="1"/>
    <col min="7454" max="7454" width="1.07421875" style="2636" customWidth="1"/>
    <col min="7455" max="7455" width="8.53515625" style="2636" customWidth="1"/>
    <col min="7456" max="7456" width="14.53515625" style="2636" customWidth="1"/>
    <col min="7457" max="7457" width="10" style="2636" customWidth="1"/>
    <col min="7458" max="7458" width="7.765625" style="2636" bestFit="1" customWidth="1"/>
    <col min="7459" max="7459" width="9.765625" style="2636" customWidth="1"/>
    <col min="7460" max="7676" width="8.765625" style="2636"/>
    <col min="7677" max="7677" width="38.4609375" style="2636" customWidth="1"/>
    <col min="7678" max="7678" width="8.53515625" style="2636" customWidth="1"/>
    <col min="7679" max="7679" width="1.07421875" style="2636" customWidth="1"/>
    <col min="7680" max="7680" width="8.765625" style="2636" customWidth="1"/>
    <col min="7681" max="7681" width="1.07421875" style="2636" customWidth="1"/>
    <col min="7682" max="7682" width="9.07421875" style="2636" customWidth="1"/>
    <col min="7683" max="7683" width="1.07421875" style="2636" customWidth="1"/>
    <col min="7684" max="7684" width="10" style="2636" customWidth="1"/>
    <col min="7685" max="7685" width="1.07421875" style="2636" customWidth="1"/>
    <col min="7686" max="7686" width="9.07421875" style="2636" customWidth="1"/>
    <col min="7687" max="7687" width="1.07421875" style="2636" customWidth="1"/>
    <col min="7688" max="7688" width="11.07421875" style="2636" customWidth="1"/>
    <col min="7689" max="7689" width="1.07421875" style="2636" customWidth="1"/>
    <col min="7690" max="7690" width="9.07421875" style="2636" customWidth="1"/>
    <col min="7691" max="7691" width="1.765625" style="2636" customWidth="1"/>
    <col min="7692" max="7692" width="11" style="2636" customWidth="1"/>
    <col min="7693" max="7693" width="1.07421875" style="2636" customWidth="1"/>
    <col min="7694" max="7694" width="10.765625" style="2636" customWidth="1"/>
    <col min="7695" max="7695" width="1.07421875" style="2636" customWidth="1"/>
    <col min="7696" max="7696" width="10" style="2636" customWidth="1"/>
    <col min="7697" max="7697" width="1.07421875" style="2636" customWidth="1"/>
    <col min="7698" max="7698" width="9.07421875" style="2636" customWidth="1"/>
    <col min="7699" max="7699" width="1.07421875" style="2636" customWidth="1"/>
    <col min="7700" max="7700" width="7.765625" style="2636" customWidth="1"/>
    <col min="7701" max="7701" width="1.07421875" style="2636" customWidth="1"/>
    <col min="7702" max="7702" width="0.765625" style="2636" customWidth="1"/>
    <col min="7703" max="7703" width="9.07421875" style="2636" customWidth="1"/>
    <col min="7704" max="7704" width="1.07421875" style="2636" customWidth="1"/>
    <col min="7705" max="7705" width="0.765625" style="2636" customWidth="1"/>
    <col min="7706" max="7706" width="9.53515625" style="2636" bestFit="1" customWidth="1"/>
    <col min="7707" max="7708" width="0.765625" style="2636" customWidth="1"/>
    <col min="7709" max="7709" width="9.765625" style="2636" customWidth="1"/>
    <col min="7710" max="7710" width="1.07421875" style="2636" customWidth="1"/>
    <col min="7711" max="7711" width="8.53515625" style="2636" customWidth="1"/>
    <col min="7712" max="7712" width="14.53515625" style="2636" customWidth="1"/>
    <col min="7713" max="7713" width="10" style="2636" customWidth="1"/>
    <col min="7714" max="7714" width="7.765625" style="2636" bestFit="1" customWidth="1"/>
    <col min="7715" max="7715" width="9.765625" style="2636" customWidth="1"/>
    <col min="7716" max="7932" width="8.765625" style="2636"/>
    <col min="7933" max="7933" width="38.4609375" style="2636" customWidth="1"/>
    <col min="7934" max="7934" width="8.53515625" style="2636" customWidth="1"/>
    <col min="7935" max="7935" width="1.07421875" style="2636" customWidth="1"/>
    <col min="7936" max="7936" width="8.765625" style="2636" customWidth="1"/>
    <col min="7937" max="7937" width="1.07421875" style="2636" customWidth="1"/>
    <col min="7938" max="7938" width="9.07421875" style="2636" customWidth="1"/>
    <col min="7939" max="7939" width="1.07421875" style="2636" customWidth="1"/>
    <col min="7940" max="7940" width="10" style="2636" customWidth="1"/>
    <col min="7941" max="7941" width="1.07421875" style="2636" customWidth="1"/>
    <col min="7942" max="7942" width="9.07421875" style="2636" customWidth="1"/>
    <col min="7943" max="7943" width="1.07421875" style="2636" customWidth="1"/>
    <col min="7944" max="7944" width="11.07421875" style="2636" customWidth="1"/>
    <col min="7945" max="7945" width="1.07421875" style="2636" customWidth="1"/>
    <col min="7946" max="7946" width="9.07421875" style="2636" customWidth="1"/>
    <col min="7947" max="7947" width="1.765625" style="2636" customWidth="1"/>
    <col min="7948" max="7948" width="11" style="2636" customWidth="1"/>
    <col min="7949" max="7949" width="1.07421875" style="2636" customWidth="1"/>
    <col min="7950" max="7950" width="10.765625" style="2636" customWidth="1"/>
    <col min="7951" max="7951" width="1.07421875" style="2636" customWidth="1"/>
    <col min="7952" max="7952" width="10" style="2636" customWidth="1"/>
    <col min="7953" max="7953" width="1.07421875" style="2636" customWidth="1"/>
    <col min="7954" max="7954" width="9.07421875" style="2636" customWidth="1"/>
    <col min="7955" max="7955" width="1.07421875" style="2636" customWidth="1"/>
    <col min="7956" max="7956" width="7.765625" style="2636" customWidth="1"/>
    <col min="7957" max="7957" width="1.07421875" style="2636" customWidth="1"/>
    <col min="7958" max="7958" width="0.765625" style="2636" customWidth="1"/>
    <col min="7959" max="7959" width="9.07421875" style="2636" customWidth="1"/>
    <col min="7960" max="7960" width="1.07421875" style="2636" customWidth="1"/>
    <col min="7961" max="7961" width="0.765625" style="2636" customWidth="1"/>
    <col min="7962" max="7962" width="9.53515625" style="2636" bestFit="1" customWidth="1"/>
    <col min="7963" max="7964" width="0.765625" style="2636" customWidth="1"/>
    <col min="7965" max="7965" width="9.765625" style="2636" customWidth="1"/>
    <col min="7966" max="7966" width="1.07421875" style="2636" customWidth="1"/>
    <col min="7967" max="7967" width="8.53515625" style="2636" customWidth="1"/>
    <col min="7968" max="7968" width="14.53515625" style="2636" customWidth="1"/>
    <col min="7969" max="7969" width="10" style="2636" customWidth="1"/>
    <col min="7970" max="7970" width="7.765625" style="2636" bestFit="1" customWidth="1"/>
    <col min="7971" max="7971" width="9.765625" style="2636" customWidth="1"/>
    <col min="7972" max="8188" width="8.765625" style="2636"/>
    <col min="8189" max="8189" width="38.4609375" style="2636" customWidth="1"/>
    <col min="8190" max="8190" width="8.53515625" style="2636" customWidth="1"/>
    <col min="8191" max="8191" width="1.07421875" style="2636" customWidth="1"/>
    <col min="8192" max="8192" width="8.765625" style="2636" customWidth="1"/>
    <col min="8193" max="8193" width="1.07421875" style="2636" customWidth="1"/>
    <col min="8194" max="8194" width="9.07421875" style="2636" customWidth="1"/>
    <col min="8195" max="8195" width="1.07421875" style="2636" customWidth="1"/>
    <col min="8196" max="8196" width="10" style="2636" customWidth="1"/>
    <col min="8197" max="8197" width="1.07421875" style="2636" customWidth="1"/>
    <col min="8198" max="8198" width="9.07421875" style="2636" customWidth="1"/>
    <col min="8199" max="8199" width="1.07421875" style="2636" customWidth="1"/>
    <col min="8200" max="8200" width="11.07421875" style="2636" customWidth="1"/>
    <col min="8201" max="8201" width="1.07421875" style="2636" customWidth="1"/>
    <col min="8202" max="8202" width="9.07421875" style="2636" customWidth="1"/>
    <col min="8203" max="8203" width="1.765625" style="2636" customWidth="1"/>
    <col min="8204" max="8204" width="11" style="2636" customWidth="1"/>
    <col min="8205" max="8205" width="1.07421875" style="2636" customWidth="1"/>
    <col min="8206" max="8206" width="10.765625" style="2636" customWidth="1"/>
    <col min="8207" max="8207" width="1.07421875" style="2636" customWidth="1"/>
    <col min="8208" max="8208" width="10" style="2636" customWidth="1"/>
    <col min="8209" max="8209" width="1.07421875" style="2636" customWidth="1"/>
    <col min="8210" max="8210" width="9.07421875" style="2636" customWidth="1"/>
    <col min="8211" max="8211" width="1.07421875" style="2636" customWidth="1"/>
    <col min="8212" max="8212" width="7.765625" style="2636" customWidth="1"/>
    <col min="8213" max="8213" width="1.07421875" style="2636" customWidth="1"/>
    <col min="8214" max="8214" width="0.765625" style="2636" customWidth="1"/>
    <col min="8215" max="8215" width="9.07421875" style="2636" customWidth="1"/>
    <col min="8216" max="8216" width="1.07421875" style="2636" customWidth="1"/>
    <col min="8217" max="8217" width="0.765625" style="2636" customWidth="1"/>
    <col min="8218" max="8218" width="9.53515625" style="2636" bestFit="1" customWidth="1"/>
    <col min="8219" max="8220" width="0.765625" style="2636" customWidth="1"/>
    <col min="8221" max="8221" width="9.765625" style="2636" customWidth="1"/>
    <col min="8222" max="8222" width="1.07421875" style="2636" customWidth="1"/>
    <col min="8223" max="8223" width="8.53515625" style="2636" customWidth="1"/>
    <col min="8224" max="8224" width="14.53515625" style="2636" customWidth="1"/>
    <col min="8225" max="8225" width="10" style="2636" customWidth="1"/>
    <col min="8226" max="8226" width="7.765625" style="2636" bestFit="1" customWidth="1"/>
    <col min="8227" max="8227" width="9.765625" style="2636" customWidth="1"/>
    <col min="8228" max="8444" width="8.765625" style="2636"/>
    <col min="8445" max="8445" width="38.4609375" style="2636" customWidth="1"/>
    <col min="8446" max="8446" width="8.53515625" style="2636" customWidth="1"/>
    <col min="8447" max="8447" width="1.07421875" style="2636" customWidth="1"/>
    <col min="8448" max="8448" width="8.765625" style="2636" customWidth="1"/>
    <col min="8449" max="8449" width="1.07421875" style="2636" customWidth="1"/>
    <col min="8450" max="8450" width="9.07421875" style="2636" customWidth="1"/>
    <col min="8451" max="8451" width="1.07421875" style="2636" customWidth="1"/>
    <col min="8452" max="8452" width="10" style="2636" customWidth="1"/>
    <col min="8453" max="8453" width="1.07421875" style="2636" customWidth="1"/>
    <col min="8454" max="8454" width="9.07421875" style="2636" customWidth="1"/>
    <col min="8455" max="8455" width="1.07421875" style="2636" customWidth="1"/>
    <col min="8456" max="8456" width="11.07421875" style="2636" customWidth="1"/>
    <col min="8457" max="8457" width="1.07421875" style="2636" customWidth="1"/>
    <col min="8458" max="8458" width="9.07421875" style="2636" customWidth="1"/>
    <col min="8459" max="8459" width="1.765625" style="2636" customWidth="1"/>
    <col min="8460" max="8460" width="11" style="2636" customWidth="1"/>
    <col min="8461" max="8461" width="1.07421875" style="2636" customWidth="1"/>
    <col min="8462" max="8462" width="10.765625" style="2636" customWidth="1"/>
    <col min="8463" max="8463" width="1.07421875" style="2636" customWidth="1"/>
    <col min="8464" max="8464" width="10" style="2636" customWidth="1"/>
    <col min="8465" max="8465" width="1.07421875" style="2636" customWidth="1"/>
    <col min="8466" max="8466" width="9.07421875" style="2636" customWidth="1"/>
    <col min="8467" max="8467" width="1.07421875" style="2636" customWidth="1"/>
    <col min="8468" max="8468" width="7.765625" style="2636" customWidth="1"/>
    <col min="8469" max="8469" width="1.07421875" style="2636" customWidth="1"/>
    <col min="8470" max="8470" width="0.765625" style="2636" customWidth="1"/>
    <col min="8471" max="8471" width="9.07421875" style="2636" customWidth="1"/>
    <col min="8472" max="8472" width="1.07421875" style="2636" customWidth="1"/>
    <col min="8473" max="8473" width="0.765625" style="2636" customWidth="1"/>
    <col min="8474" max="8474" width="9.53515625" style="2636" bestFit="1" customWidth="1"/>
    <col min="8475" max="8476" width="0.765625" style="2636" customWidth="1"/>
    <col min="8477" max="8477" width="9.765625" style="2636" customWidth="1"/>
    <col min="8478" max="8478" width="1.07421875" style="2636" customWidth="1"/>
    <col min="8479" max="8479" width="8.53515625" style="2636" customWidth="1"/>
    <col min="8480" max="8480" width="14.53515625" style="2636" customWidth="1"/>
    <col min="8481" max="8481" width="10" style="2636" customWidth="1"/>
    <col min="8482" max="8482" width="7.765625" style="2636" bestFit="1" customWidth="1"/>
    <col min="8483" max="8483" width="9.765625" style="2636" customWidth="1"/>
    <col min="8484" max="8700" width="8.765625" style="2636"/>
    <col min="8701" max="8701" width="38.4609375" style="2636" customWidth="1"/>
    <col min="8702" max="8702" width="8.53515625" style="2636" customWidth="1"/>
    <col min="8703" max="8703" width="1.07421875" style="2636" customWidth="1"/>
    <col min="8704" max="8704" width="8.765625" style="2636" customWidth="1"/>
    <col min="8705" max="8705" width="1.07421875" style="2636" customWidth="1"/>
    <col min="8706" max="8706" width="9.07421875" style="2636" customWidth="1"/>
    <col min="8707" max="8707" width="1.07421875" style="2636" customWidth="1"/>
    <col min="8708" max="8708" width="10" style="2636" customWidth="1"/>
    <col min="8709" max="8709" width="1.07421875" style="2636" customWidth="1"/>
    <col min="8710" max="8710" width="9.07421875" style="2636" customWidth="1"/>
    <col min="8711" max="8711" width="1.07421875" style="2636" customWidth="1"/>
    <col min="8712" max="8712" width="11.07421875" style="2636" customWidth="1"/>
    <col min="8713" max="8713" width="1.07421875" style="2636" customWidth="1"/>
    <col min="8714" max="8714" width="9.07421875" style="2636" customWidth="1"/>
    <col min="8715" max="8715" width="1.765625" style="2636" customWidth="1"/>
    <col min="8716" max="8716" width="11" style="2636" customWidth="1"/>
    <col min="8717" max="8717" width="1.07421875" style="2636" customWidth="1"/>
    <col min="8718" max="8718" width="10.765625" style="2636" customWidth="1"/>
    <col min="8719" max="8719" width="1.07421875" style="2636" customWidth="1"/>
    <col min="8720" max="8720" width="10" style="2636" customWidth="1"/>
    <col min="8721" max="8721" width="1.07421875" style="2636" customWidth="1"/>
    <col min="8722" max="8722" width="9.07421875" style="2636" customWidth="1"/>
    <col min="8723" max="8723" width="1.07421875" style="2636" customWidth="1"/>
    <col min="8724" max="8724" width="7.765625" style="2636" customWidth="1"/>
    <col min="8725" max="8725" width="1.07421875" style="2636" customWidth="1"/>
    <col min="8726" max="8726" width="0.765625" style="2636" customWidth="1"/>
    <col min="8727" max="8727" width="9.07421875" style="2636" customWidth="1"/>
    <col min="8728" max="8728" width="1.07421875" style="2636" customWidth="1"/>
    <col min="8729" max="8729" width="0.765625" style="2636" customWidth="1"/>
    <col min="8730" max="8730" width="9.53515625" style="2636" bestFit="1" customWidth="1"/>
    <col min="8731" max="8732" width="0.765625" style="2636" customWidth="1"/>
    <col min="8733" max="8733" width="9.765625" style="2636" customWidth="1"/>
    <col min="8734" max="8734" width="1.07421875" style="2636" customWidth="1"/>
    <col min="8735" max="8735" width="8.53515625" style="2636" customWidth="1"/>
    <col min="8736" max="8736" width="14.53515625" style="2636" customWidth="1"/>
    <col min="8737" max="8737" width="10" style="2636" customWidth="1"/>
    <col min="8738" max="8738" width="7.765625" style="2636" bestFit="1" customWidth="1"/>
    <col min="8739" max="8739" width="9.765625" style="2636" customWidth="1"/>
    <col min="8740" max="8956" width="8.765625" style="2636"/>
    <col min="8957" max="8957" width="38.4609375" style="2636" customWidth="1"/>
    <col min="8958" max="8958" width="8.53515625" style="2636" customWidth="1"/>
    <col min="8959" max="8959" width="1.07421875" style="2636" customWidth="1"/>
    <col min="8960" max="8960" width="8.765625" style="2636" customWidth="1"/>
    <col min="8961" max="8961" width="1.07421875" style="2636" customWidth="1"/>
    <col min="8962" max="8962" width="9.07421875" style="2636" customWidth="1"/>
    <col min="8963" max="8963" width="1.07421875" style="2636" customWidth="1"/>
    <col min="8964" max="8964" width="10" style="2636" customWidth="1"/>
    <col min="8965" max="8965" width="1.07421875" style="2636" customWidth="1"/>
    <col min="8966" max="8966" width="9.07421875" style="2636" customWidth="1"/>
    <col min="8967" max="8967" width="1.07421875" style="2636" customWidth="1"/>
    <col min="8968" max="8968" width="11.07421875" style="2636" customWidth="1"/>
    <col min="8969" max="8969" width="1.07421875" style="2636" customWidth="1"/>
    <col min="8970" max="8970" width="9.07421875" style="2636" customWidth="1"/>
    <col min="8971" max="8971" width="1.765625" style="2636" customWidth="1"/>
    <col min="8972" max="8972" width="11" style="2636" customWidth="1"/>
    <col min="8973" max="8973" width="1.07421875" style="2636" customWidth="1"/>
    <col min="8974" max="8974" width="10.765625" style="2636" customWidth="1"/>
    <col min="8975" max="8975" width="1.07421875" style="2636" customWidth="1"/>
    <col min="8976" max="8976" width="10" style="2636" customWidth="1"/>
    <col min="8977" max="8977" width="1.07421875" style="2636" customWidth="1"/>
    <col min="8978" max="8978" width="9.07421875" style="2636" customWidth="1"/>
    <col min="8979" max="8979" width="1.07421875" style="2636" customWidth="1"/>
    <col min="8980" max="8980" width="7.765625" style="2636" customWidth="1"/>
    <col min="8981" max="8981" width="1.07421875" style="2636" customWidth="1"/>
    <col min="8982" max="8982" width="0.765625" style="2636" customWidth="1"/>
    <col min="8983" max="8983" width="9.07421875" style="2636" customWidth="1"/>
    <col min="8984" max="8984" width="1.07421875" style="2636" customWidth="1"/>
    <col min="8985" max="8985" width="0.765625" style="2636" customWidth="1"/>
    <col min="8986" max="8986" width="9.53515625" style="2636" bestFit="1" customWidth="1"/>
    <col min="8987" max="8988" width="0.765625" style="2636" customWidth="1"/>
    <col min="8989" max="8989" width="9.765625" style="2636" customWidth="1"/>
    <col min="8990" max="8990" width="1.07421875" style="2636" customWidth="1"/>
    <col min="8991" max="8991" width="8.53515625" style="2636" customWidth="1"/>
    <col min="8992" max="8992" width="14.53515625" style="2636" customWidth="1"/>
    <col min="8993" max="8993" width="10" style="2636" customWidth="1"/>
    <col min="8994" max="8994" width="7.765625" style="2636" bestFit="1" customWidth="1"/>
    <col min="8995" max="8995" width="9.765625" style="2636" customWidth="1"/>
    <col min="8996" max="9212" width="8.765625" style="2636"/>
    <col min="9213" max="9213" width="38.4609375" style="2636" customWidth="1"/>
    <col min="9214" max="9214" width="8.53515625" style="2636" customWidth="1"/>
    <col min="9215" max="9215" width="1.07421875" style="2636" customWidth="1"/>
    <col min="9216" max="9216" width="8.765625" style="2636" customWidth="1"/>
    <col min="9217" max="9217" width="1.07421875" style="2636" customWidth="1"/>
    <col min="9218" max="9218" width="9.07421875" style="2636" customWidth="1"/>
    <col min="9219" max="9219" width="1.07421875" style="2636" customWidth="1"/>
    <col min="9220" max="9220" width="10" style="2636" customWidth="1"/>
    <col min="9221" max="9221" width="1.07421875" style="2636" customWidth="1"/>
    <col min="9222" max="9222" width="9.07421875" style="2636" customWidth="1"/>
    <col min="9223" max="9223" width="1.07421875" style="2636" customWidth="1"/>
    <col min="9224" max="9224" width="11.07421875" style="2636" customWidth="1"/>
    <col min="9225" max="9225" width="1.07421875" style="2636" customWidth="1"/>
    <col min="9226" max="9226" width="9.07421875" style="2636" customWidth="1"/>
    <col min="9227" max="9227" width="1.765625" style="2636" customWidth="1"/>
    <col min="9228" max="9228" width="11" style="2636" customWidth="1"/>
    <col min="9229" max="9229" width="1.07421875" style="2636" customWidth="1"/>
    <col min="9230" max="9230" width="10.765625" style="2636" customWidth="1"/>
    <col min="9231" max="9231" width="1.07421875" style="2636" customWidth="1"/>
    <col min="9232" max="9232" width="10" style="2636" customWidth="1"/>
    <col min="9233" max="9233" width="1.07421875" style="2636" customWidth="1"/>
    <col min="9234" max="9234" width="9.07421875" style="2636" customWidth="1"/>
    <col min="9235" max="9235" width="1.07421875" style="2636" customWidth="1"/>
    <col min="9236" max="9236" width="7.765625" style="2636" customWidth="1"/>
    <col min="9237" max="9237" width="1.07421875" style="2636" customWidth="1"/>
    <col min="9238" max="9238" width="0.765625" style="2636" customWidth="1"/>
    <col min="9239" max="9239" width="9.07421875" style="2636" customWidth="1"/>
    <col min="9240" max="9240" width="1.07421875" style="2636" customWidth="1"/>
    <col min="9241" max="9241" width="0.765625" style="2636" customWidth="1"/>
    <col min="9242" max="9242" width="9.53515625" style="2636" bestFit="1" customWidth="1"/>
    <col min="9243" max="9244" width="0.765625" style="2636" customWidth="1"/>
    <col min="9245" max="9245" width="9.765625" style="2636" customWidth="1"/>
    <col min="9246" max="9246" width="1.07421875" style="2636" customWidth="1"/>
    <col min="9247" max="9247" width="8.53515625" style="2636" customWidth="1"/>
    <col min="9248" max="9248" width="14.53515625" style="2636" customWidth="1"/>
    <col min="9249" max="9249" width="10" style="2636" customWidth="1"/>
    <col min="9250" max="9250" width="7.765625" style="2636" bestFit="1" customWidth="1"/>
    <col min="9251" max="9251" width="9.765625" style="2636" customWidth="1"/>
    <col min="9252" max="9468" width="8.765625" style="2636"/>
    <col min="9469" max="9469" width="38.4609375" style="2636" customWidth="1"/>
    <col min="9470" max="9470" width="8.53515625" style="2636" customWidth="1"/>
    <col min="9471" max="9471" width="1.07421875" style="2636" customWidth="1"/>
    <col min="9472" max="9472" width="8.765625" style="2636" customWidth="1"/>
    <col min="9473" max="9473" width="1.07421875" style="2636" customWidth="1"/>
    <col min="9474" max="9474" width="9.07421875" style="2636" customWidth="1"/>
    <col min="9475" max="9475" width="1.07421875" style="2636" customWidth="1"/>
    <col min="9476" max="9476" width="10" style="2636" customWidth="1"/>
    <col min="9477" max="9477" width="1.07421875" style="2636" customWidth="1"/>
    <col min="9478" max="9478" width="9.07421875" style="2636" customWidth="1"/>
    <col min="9479" max="9479" width="1.07421875" style="2636" customWidth="1"/>
    <col min="9480" max="9480" width="11.07421875" style="2636" customWidth="1"/>
    <col min="9481" max="9481" width="1.07421875" style="2636" customWidth="1"/>
    <col min="9482" max="9482" width="9.07421875" style="2636" customWidth="1"/>
    <col min="9483" max="9483" width="1.765625" style="2636" customWidth="1"/>
    <col min="9484" max="9484" width="11" style="2636" customWidth="1"/>
    <col min="9485" max="9485" width="1.07421875" style="2636" customWidth="1"/>
    <col min="9486" max="9486" width="10.765625" style="2636" customWidth="1"/>
    <col min="9487" max="9487" width="1.07421875" style="2636" customWidth="1"/>
    <col min="9488" max="9488" width="10" style="2636" customWidth="1"/>
    <col min="9489" max="9489" width="1.07421875" style="2636" customWidth="1"/>
    <col min="9490" max="9490" width="9.07421875" style="2636" customWidth="1"/>
    <col min="9491" max="9491" width="1.07421875" style="2636" customWidth="1"/>
    <col min="9492" max="9492" width="7.765625" style="2636" customWidth="1"/>
    <col min="9493" max="9493" width="1.07421875" style="2636" customWidth="1"/>
    <col min="9494" max="9494" width="0.765625" style="2636" customWidth="1"/>
    <col min="9495" max="9495" width="9.07421875" style="2636" customWidth="1"/>
    <col min="9496" max="9496" width="1.07421875" style="2636" customWidth="1"/>
    <col min="9497" max="9497" width="0.765625" style="2636" customWidth="1"/>
    <col min="9498" max="9498" width="9.53515625" style="2636" bestFit="1" customWidth="1"/>
    <col min="9499" max="9500" width="0.765625" style="2636" customWidth="1"/>
    <col min="9501" max="9501" width="9.765625" style="2636" customWidth="1"/>
    <col min="9502" max="9502" width="1.07421875" style="2636" customWidth="1"/>
    <col min="9503" max="9503" width="8.53515625" style="2636" customWidth="1"/>
    <col min="9504" max="9504" width="14.53515625" style="2636" customWidth="1"/>
    <col min="9505" max="9505" width="10" style="2636" customWidth="1"/>
    <col min="9506" max="9506" width="7.765625" style="2636" bestFit="1" customWidth="1"/>
    <col min="9507" max="9507" width="9.765625" style="2636" customWidth="1"/>
    <col min="9508" max="9724" width="8.765625" style="2636"/>
    <col min="9725" max="9725" width="38.4609375" style="2636" customWidth="1"/>
    <col min="9726" max="9726" width="8.53515625" style="2636" customWidth="1"/>
    <col min="9727" max="9727" width="1.07421875" style="2636" customWidth="1"/>
    <col min="9728" max="9728" width="8.765625" style="2636" customWidth="1"/>
    <col min="9729" max="9729" width="1.07421875" style="2636" customWidth="1"/>
    <col min="9730" max="9730" width="9.07421875" style="2636" customWidth="1"/>
    <col min="9731" max="9731" width="1.07421875" style="2636" customWidth="1"/>
    <col min="9732" max="9732" width="10" style="2636" customWidth="1"/>
    <col min="9733" max="9733" width="1.07421875" style="2636" customWidth="1"/>
    <col min="9734" max="9734" width="9.07421875" style="2636" customWidth="1"/>
    <col min="9735" max="9735" width="1.07421875" style="2636" customWidth="1"/>
    <col min="9736" max="9736" width="11.07421875" style="2636" customWidth="1"/>
    <col min="9737" max="9737" width="1.07421875" style="2636" customWidth="1"/>
    <col min="9738" max="9738" width="9.07421875" style="2636" customWidth="1"/>
    <col min="9739" max="9739" width="1.765625" style="2636" customWidth="1"/>
    <col min="9740" max="9740" width="11" style="2636" customWidth="1"/>
    <col min="9741" max="9741" width="1.07421875" style="2636" customWidth="1"/>
    <col min="9742" max="9742" width="10.765625" style="2636" customWidth="1"/>
    <col min="9743" max="9743" width="1.07421875" style="2636" customWidth="1"/>
    <col min="9744" max="9744" width="10" style="2636" customWidth="1"/>
    <col min="9745" max="9745" width="1.07421875" style="2636" customWidth="1"/>
    <col min="9746" max="9746" width="9.07421875" style="2636" customWidth="1"/>
    <col min="9747" max="9747" width="1.07421875" style="2636" customWidth="1"/>
    <col min="9748" max="9748" width="7.765625" style="2636" customWidth="1"/>
    <col min="9749" max="9749" width="1.07421875" style="2636" customWidth="1"/>
    <col min="9750" max="9750" width="0.765625" style="2636" customWidth="1"/>
    <col min="9751" max="9751" width="9.07421875" style="2636" customWidth="1"/>
    <col min="9752" max="9752" width="1.07421875" style="2636" customWidth="1"/>
    <col min="9753" max="9753" width="0.765625" style="2636" customWidth="1"/>
    <col min="9754" max="9754" width="9.53515625" style="2636" bestFit="1" customWidth="1"/>
    <col min="9755" max="9756" width="0.765625" style="2636" customWidth="1"/>
    <col min="9757" max="9757" width="9.765625" style="2636" customWidth="1"/>
    <col min="9758" max="9758" width="1.07421875" style="2636" customWidth="1"/>
    <col min="9759" max="9759" width="8.53515625" style="2636" customWidth="1"/>
    <col min="9760" max="9760" width="14.53515625" style="2636" customWidth="1"/>
    <col min="9761" max="9761" width="10" style="2636" customWidth="1"/>
    <col min="9762" max="9762" width="7.765625" style="2636" bestFit="1" customWidth="1"/>
    <col min="9763" max="9763" width="9.765625" style="2636" customWidth="1"/>
    <col min="9764" max="9980" width="8.765625" style="2636"/>
    <col min="9981" max="9981" width="38.4609375" style="2636" customWidth="1"/>
    <col min="9982" max="9982" width="8.53515625" style="2636" customWidth="1"/>
    <col min="9983" max="9983" width="1.07421875" style="2636" customWidth="1"/>
    <col min="9984" max="9984" width="8.765625" style="2636" customWidth="1"/>
    <col min="9985" max="9985" width="1.07421875" style="2636" customWidth="1"/>
    <col min="9986" max="9986" width="9.07421875" style="2636" customWidth="1"/>
    <col min="9987" max="9987" width="1.07421875" style="2636" customWidth="1"/>
    <col min="9988" max="9988" width="10" style="2636" customWidth="1"/>
    <col min="9989" max="9989" width="1.07421875" style="2636" customWidth="1"/>
    <col min="9990" max="9990" width="9.07421875" style="2636" customWidth="1"/>
    <col min="9991" max="9991" width="1.07421875" style="2636" customWidth="1"/>
    <col min="9992" max="9992" width="11.07421875" style="2636" customWidth="1"/>
    <col min="9993" max="9993" width="1.07421875" style="2636" customWidth="1"/>
    <col min="9994" max="9994" width="9.07421875" style="2636" customWidth="1"/>
    <col min="9995" max="9995" width="1.765625" style="2636" customWidth="1"/>
    <col min="9996" max="9996" width="11" style="2636" customWidth="1"/>
    <col min="9997" max="9997" width="1.07421875" style="2636" customWidth="1"/>
    <col min="9998" max="9998" width="10.765625" style="2636" customWidth="1"/>
    <col min="9999" max="9999" width="1.07421875" style="2636" customWidth="1"/>
    <col min="10000" max="10000" width="10" style="2636" customWidth="1"/>
    <col min="10001" max="10001" width="1.07421875" style="2636" customWidth="1"/>
    <col min="10002" max="10002" width="9.07421875" style="2636" customWidth="1"/>
    <col min="10003" max="10003" width="1.07421875" style="2636" customWidth="1"/>
    <col min="10004" max="10004" width="7.765625" style="2636" customWidth="1"/>
    <col min="10005" max="10005" width="1.07421875" style="2636" customWidth="1"/>
    <col min="10006" max="10006" width="0.765625" style="2636" customWidth="1"/>
    <col min="10007" max="10007" width="9.07421875" style="2636" customWidth="1"/>
    <col min="10008" max="10008" width="1.07421875" style="2636" customWidth="1"/>
    <col min="10009" max="10009" width="0.765625" style="2636" customWidth="1"/>
    <col min="10010" max="10010" width="9.53515625" style="2636" bestFit="1" customWidth="1"/>
    <col min="10011" max="10012" width="0.765625" style="2636" customWidth="1"/>
    <col min="10013" max="10013" width="9.765625" style="2636" customWidth="1"/>
    <col min="10014" max="10014" width="1.07421875" style="2636" customWidth="1"/>
    <col min="10015" max="10015" width="8.53515625" style="2636" customWidth="1"/>
    <col min="10016" max="10016" width="14.53515625" style="2636" customWidth="1"/>
    <col min="10017" max="10017" width="10" style="2636" customWidth="1"/>
    <col min="10018" max="10018" width="7.765625" style="2636" bestFit="1" customWidth="1"/>
    <col min="10019" max="10019" width="9.765625" style="2636" customWidth="1"/>
    <col min="10020" max="10236" width="8.765625" style="2636"/>
    <col min="10237" max="10237" width="38.4609375" style="2636" customWidth="1"/>
    <col min="10238" max="10238" width="8.53515625" style="2636" customWidth="1"/>
    <col min="10239" max="10239" width="1.07421875" style="2636" customWidth="1"/>
    <col min="10240" max="10240" width="8.765625" style="2636" customWidth="1"/>
    <col min="10241" max="10241" width="1.07421875" style="2636" customWidth="1"/>
    <col min="10242" max="10242" width="9.07421875" style="2636" customWidth="1"/>
    <col min="10243" max="10243" width="1.07421875" style="2636" customWidth="1"/>
    <col min="10244" max="10244" width="10" style="2636" customWidth="1"/>
    <col min="10245" max="10245" width="1.07421875" style="2636" customWidth="1"/>
    <col min="10246" max="10246" width="9.07421875" style="2636" customWidth="1"/>
    <col min="10247" max="10247" width="1.07421875" style="2636" customWidth="1"/>
    <col min="10248" max="10248" width="11.07421875" style="2636" customWidth="1"/>
    <col min="10249" max="10249" width="1.07421875" style="2636" customWidth="1"/>
    <col min="10250" max="10250" width="9.07421875" style="2636" customWidth="1"/>
    <col min="10251" max="10251" width="1.765625" style="2636" customWidth="1"/>
    <col min="10252" max="10252" width="11" style="2636" customWidth="1"/>
    <col min="10253" max="10253" width="1.07421875" style="2636" customWidth="1"/>
    <col min="10254" max="10254" width="10.765625" style="2636" customWidth="1"/>
    <col min="10255" max="10255" width="1.07421875" style="2636" customWidth="1"/>
    <col min="10256" max="10256" width="10" style="2636" customWidth="1"/>
    <col min="10257" max="10257" width="1.07421875" style="2636" customWidth="1"/>
    <col min="10258" max="10258" width="9.07421875" style="2636" customWidth="1"/>
    <col min="10259" max="10259" width="1.07421875" style="2636" customWidth="1"/>
    <col min="10260" max="10260" width="7.765625" style="2636" customWidth="1"/>
    <col min="10261" max="10261" width="1.07421875" style="2636" customWidth="1"/>
    <col min="10262" max="10262" width="0.765625" style="2636" customWidth="1"/>
    <col min="10263" max="10263" width="9.07421875" style="2636" customWidth="1"/>
    <col min="10264" max="10264" width="1.07421875" style="2636" customWidth="1"/>
    <col min="10265" max="10265" width="0.765625" style="2636" customWidth="1"/>
    <col min="10266" max="10266" width="9.53515625" style="2636" bestFit="1" customWidth="1"/>
    <col min="10267" max="10268" width="0.765625" style="2636" customWidth="1"/>
    <col min="10269" max="10269" width="9.765625" style="2636" customWidth="1"/>
    <col min="10270" max="10270" width="1.07421875" style="2636" customWidth="1"/>
    <col min="10271" max="10271" width="8.53515625" style="2636" customWidth="1"/>
    <col min="10272" max="10272" width="14.53515625" style="2636" customWidth="1"/>
    <col min="10273" max="10273" width="10" style="2636" customWidth="1"/>
    <col min="10274" max="10274" width="7.765625" style="2636" bestFit="1" customWidth="1"/>
    <col min="10275" max="10275" width="9.765625" style="2636" customWidth="1"/>
    <col min="10276" max="10492" width="8.765625" style="2636"/>
    <col min="10493" max="10493" width="38.4609375" style="2636" customWidth="1"/>
    <col min="10494" max="10494" width="8.53515625" style="2636" customWidth="1"/>
    <col min="10495" max="10495" width="1.07421875" style="2636" customWidth="1"/>
    <col min="10496" max="10496" width="8.765625" style="2636" customWidth="1"/>
    <col min="10497" max="10497" width="1.07421875" style="2636" customWidth="1"/>
    <col min="10498" max="10498" width="9.07421875" style="2636" customWidth="1"/>
    <col min="10499" max="10499" width="1.07421875" style="2636" customWidth="1"/>
    <col min="10500" max="10500" width="10" style="2636" customWidth="1"/>
    <col min="10501" max="10501" width="1.07421875" style="2636" customWidth="1"/>
    <col min="10502" max="10502" width="9.07421875" style="2636" customWidth="1"/>
    <col min="10503" max="10503" width="1.07421875" style="2636" customWidth="1"/>
    <col min="10504" max="10504" width="11.07421875" style="2636" customWidth="1"/>
    <col min="10505" max="10505" width="1.07421875" style="2636" customWidth="1"/>
    <col min="10506" max="10506" width="9.07421875" style="2636" customWidth="1"/>
    <col min="10507" max="10507" width="1.765625" style="2636" customWidth="1"/>
    <col min="10508" max="10508" width="11" style="2636" customWidth="1"/>
    <col min="10509" max="10509" width="1.07421875" style="2636" customWidth="1"/>
    <col min="10510" max="10510" width="10.765625" style="2636" customWidth="1"/>
    <col min="10511" max="10511" width="1.07421875" style="2636" customWidth="1"/>
    <col min="10512" max="10512" width="10" style="2636" customWidth="1"/>
    <col min="10513" max="10513" width="1.07421875" style="2636" customWidth="1"/>
    <col min="10514" max="10514" width="9.07421875" style="2636" customWidth="1"/>
    <col min="10515" max="10515" width="1.07421875" style="2636" customWidth="1"/>
    <col min="10516" max="10516" width="7.765625" style="2636" customWidth="1"/>
    <col min="10517" max="10517" width="1.07421875" style="2636" customWidth="1"/>
    <col min="10518" max="10518" width="0.765625" style="2636" customWidth="1"/>
    <col min="10519" max="10519" width="9.07421875" style="2636" customWidth="1"/>
    <col min="10520" max="10520" width="1.07421875" style="2636" customWidth="1"/>
    <col min="10521" max="10521" width="0.765625" style="2636" customWidth="1"/>
    <col min="10522" max="10522" width="9.53515625" style="2636" bestFit="1" customWidth="1"/>
    <col min="10523" max="10524" width="0.765625" style="2636" customWidth="1"/>
    <col min="10525" max="10525" width="9.765625" style="2636" customWidth="1"/>
    <col min="10526" max="10526" width="1.07421875" style="2636" customWidth="1"/>
    <col min="10527" max="10527" width="8.53515625" style="2636" customWidth="1"/>
    <col min="10528" max="10528" width="14.53515625" style="2636" customWidth="1"/>
    <col min="10529" max="10529" width="10" style="2636" customWidth="1"/>
    <col min="10530" max="10530" width="7.765625" style="2636" bestFit="1" customWidth="1"/>
    <col min="10531" max="10531" width="9.765625" style="2636" customWidth="1"/>
    <col min="10532" max="10748" width="8.765625" style="2636"/>
    <col min="10749" max="10749" width="38.4609375" style="2636" customWidth="1"/>
    <col min="10750" max="10750" width="8.53515625" style="2636" customWidth="1"/>
    <col min="10751" max="10751" width="1.07421875" style="2636" customWidth="1"/>
    <col min="10752" max="10752" width="8.765625" style="2636" customWidth="1"/>
    <col min="10753" max="10753" width="1.07421875" style="2636" customWidth="1"/>
    <col min="10754" max="10754" width="9.07421875" style="2636" customWidth="1"/>
    <col min="10755" max="10755" width="1.07421875" style="2636" customWidth="1"/>
    <col min="10756" max="10756" width="10" style="2636" customWidth="1"/>
    <col min="10757" max="10757" width="1.07421875" style="2636" customWidth="1"/>
    <col min="10758" max="10758" width="9.07421875" style="2636" customWidth="1"/>
    <col min="10759" max="10759" width="1.07421875" style="2636" customWidth="1"/>
    <col min="10760" max="10760" width="11.07421875" style="2636" customWidth="1"/>
    <col min="10761" max="10761" width="1.07421875" style="2636" customWidth="1"/>
    <col min="10762" max="10762" width="9.07421875" style="2636" customWidth="1"/>
    <col min="10763" max="10763" width="1.765625" style="2636" customWidth="1"/>
    <col min="10764" max="10764" width="11" style="2636" customWidth="1"/>
    <col min="10765" max="10765" width="1.07421875" style="2636" customWidth="1"/>
    <col min="10766" max="10766" width="10.765625" style="2636" customWidth="1"/>
    <col min="10767" max="10767" width="1.07421875" style="2636" customWidth="1"/>
    <col min="10768" max="10768" width="10" style="2636" customWidth="1"/>
    <col min="10769" max="10769" width="1.07421875" style="2636" customWidth="1"/>
    <col min="10770" max="10770" width="9.07421875" style="2636" customWidth="1"/>
    <col min="10771" max="10771" width="1.07421875" style="2636" customWidth="1"/>
    <col min="10772" max="10772" width="7.765625" style="2636" customWidth="1"/>
    <col min="10773" max="10773" width="1.07421875" style="2636" customWidth="1"/>
    <col min="10774" max="10774" width="0.765625" style="2636" customWidth="1"/>
    <col min="10775" max="10775" width="9.07421875" style="2636" customWidth="1"/>
    <col min="10776" max="10776" width="1.07421875" style="2636" customWidth="1"/>
    <col min="10777" max="10777" width="0.765625" style="2636" customWidth="1"/>
    <col min="10778" max="10778" width="9.53515625" style="2636" bestFit="1" customWidth="1"/>
    <col min="10779" max="10780" width="0.765625" style="2636" customWidth="1"/>
    <col min="10781" max="10781" width="9.765625" style="2636" customWidth="1"/>
    <col min="10782" max="10782" width="1.07421875" style="2636" customWidth="1"/>
    <col min="10783" max="10783" width="8.53515625" style="2636" customWidth="1"/>
    <col min="10784" max="10784" width="14.53515625" style="2636" customWidth="1"/>
    <col min="10785" max="10785" width="10" style="2636" customWidth="1"/>
    <col min="10786" max="10786" width="7.765625" style="2636" bestFit="1" customWidth="1"/>
    <col min="10787" max="10787" width="9.765625" style="2636" customWidth="1"/>
    <col min="10788" max="11004" width="8.765625" style="2636"/>
    <col min="11005" max="11005" width="38.4609375" style="2636" customWidth="1"/>
    <col min="11006" max="11006" width="8.53515625" style="2636" customWidth="1"/>
    <col min="11007" max="11007" width="1.07421875" style="2636" customWidth="1"/>
    <col min="11008" max="11008" width="8.765625" style="2636" customWidth="1"/>
    <col min="11009" max="11009" width="1.07421875" style="2636" customWidth="1"/>
    <col min="11010" max="11010" width="9.07421875" style="2636" customWidth="1"/>
    <col min="11011" max="11011" width="1.07421875" style="2636" customWidth="1"/>
    <col min="11012" max="11012" width="10" style="2636" customWidth="1"/>
    <col min="11013" max="11013" width="1.07421875" style="2636" customWidth="1"/>
    <col min="11014" max="11014" width="9.07421875" style="2636" customWidth="1"/>
    <col min="11015" max="11015" width="1.07421875" style="2636" customWidth="1"/>
    <col min="11016" max="11016" width="11.07421875" style="2636" customWidth="1"/>
    <col min="11017" max="11017" width="1.07421875" style="2636" customWidth="1"/>
    <col min="11018" max="11018" width="9.07421875" style="2636" customWidth="1"/>
    <col min="11019" max="11019" width="1.765625" style="2636" customWidth="1"/>
    <col min="11020" max="11020" width="11" style="2636" customWidth="1"/>
    <col min="11021" max="11021" width="1.07421875" style="2636" customWidth="1"/>
    <col min="11022" max="11022" width="10.765625" style="2636" customWidth="1"/>
    <col min="11023" max="11023" width="1.07421875" style="2636" customWidth="1"/>
    <col min="11024" max="11024" width="10" style="2636" customWidth="1"/>
    <col min="11025" max="11025" width="1.07421875" style="2636" customWidth="1"/>
    <col min="11026" max="11026" width="9.07421875" style="2636" customWidth="1"/>
    <col min="11027" max="11027" width="1.07421875" style="2636" customWidth="1"/>
    <col min="11028" max="11028" width="7.765625" style="2636" customWidth="1"/>
    <col min="11029" max="11029" width="1.07421875" style="2636" customWidth="1"/>
    <col min="11030" max="11030" width="0.765625" style="2636" customWidth="1"/>
    <col min="11031" max="11031" width="9.07421875" style="2636" customWidth="1"/>
    <col min="11032" max="11032" width="1.07421875" style="2636" customWidth="1"/>
    <col min="11033" max="11033" width="0.765625" style="2636" customWidth="1"/>
    <col min="11034" max="11034" width="9.53515625" style="2636" bestFit="1" customWidth="1"/>
    <col min="11035" max="11036" width="0.765625" style="2636" customWidth="1"/>
    <col min="11037" max="11037" width="9.765625" style="2636" customWidth="1"/>
    <col min="11038" max="11038" width="1.07421875" style="2636" customWidth="1"/>
    <col min="11039" max="11039" width="8.53515625" style="2636" customWidth="1"/>
    <col min="11040" max="11040" width="14.53515625" style="2636" customWidth="1"/>
    <col min="11041" max="11041" width="10" style="2636" customWidth="1"/>
    <col min="11042" max="11042" width="7.765625" style="2636" bestFit="1" customWidth="1"/>
    <col min="11043" max="11043" width="9.765625" style="2636" customWidth="1"/>
    <col min="11044" max="11260" width="8.765625" style="2636"/>
    <col min="11261" max="11261" width="38.4609375" style="2636" customWidth="1"/>
    <col min="11262" max="11262" width="8.53515625" style="2636" customWidth="1"/>
    <col min="11263" max="11263" width="1.07421875" style="2636" customWidth="1"/>
    <col min="11264" max="11264" width="8.765625" style="2636" customWidth="1"/>
    <col min="11265" max="11265" width="1.07421875" style="2636" customWidth="1"/>
    <col min="11266" max="11266" width="9.07421875" style="2636" customWidth="1"/>
    <col min="11267" max="11267" width="1.07421875" style="2636" customWidth="1"/>
    <col min="11268" max="11268" width="10" style="2636" customWidth="1"/>
    <col min="11269" max="11269" width="1.07421875" style="2636" customWidth="1"/>
    <col min="11270" max="11270" width="9.07421875" style="2636" customWidth="1"/>
    <col min="11271" max="11271" width="1.07421875" style="2636" customWidth="1"/>
    <col min="11272" max="11272" width="11.07421875" style="2636" customWidth="1"/>
    <col min="11273" max="11273" width="1.07421875" style="2636" customWidth="1"/>
    <col min="11274" max="11274" width="9.07421875" style="2636" customWidth="1"/>
    <col min="11275" max="11275" width="1.765625" style="2636" customWidth="1"/>
    <col min="11276" max="11276" width="11" style="2636" customWidth="1"/>
    <col min="11277" max="11277" width="1.07421875" style="2636" customWidth="1"/>
    <col min="11278" max="11278" width="10.765625" style="2636" customWidth="1"/>
    <col min="11279" max="11279" width="1.07421875" style="2636" customWidth="1"/>
    <col min="11280" max="11280" width="10" style="2636" customWidth="1"/>
    <col min="11281" max="11281" width="1.07421875" style="2636" customWidth="1"/>
    <col min="11282" max="11282" width="9.07421875" style="2636" customWidth="1"/>
    <col min="11283" max="11283" width="1.07421875" style="2636" customWidth="1"/>
    <col min="11284" max="11284" width="7.765625" style="2636" customWidth="1"/>
    <col min="11285" max="11285" width="1.07421875" style="2636" customWidth="1"/>
    <col min="11286" max="11286" width="0.765625" style="2636" customWidth="1"/>
    <col min="11287" max="11287" width="9.07421875" style="2636" customWidth="1"/>
    <col min="11288" max="11288" width="1.07421875" style="2636" customWidth="1"/>
    <col min="11289" max="11289" width="0.765625" style="2636" customWidth="1"/>
    <col min="11290" max="11290" width="9.53515625" style="2636" bestFit="1" customWidth="1"/>
    <col min="11291" max="11292" width="0.765625" style="2636" customWidth="1"/>
    <col min="11293" max="11293" width="9.765625" style="2636" customWidth="1"/>
    <col min="11294" max="11294" width="1.07421875" style="2636" customWidth="1"/>
    <col min="11295" max="11295" width="8.53515625" style="2636" customWidth="1"/>
    <col min="11296" max="11296" width="14.53515625" style="2636" customWidth="1"/>
    <col min="11297" max="11297" width="10" style="2636" customWidth="1"/>
    <col min="11298" max="11298" width="7.765625" style="2636" bestFit="1" customWidth="1"/>
    <col min="11299" max="11299" width="9.765625" style="2636" customWidth="1"/>
    <col min="11300" max="11516" width="8.765625" style="2636"/>
    <col min="11517" max="11517" width="38.4609375" style="2636" customWidth="1"/>
    <col min="11518" max="11518" width="8.53515625" style="2636" customWidth="1"/>
    <col min="11519" max="11519" width="1.07421875" style="2636" customWidth="1"/>
    <col min="11520" max="11520" width="8.765625" style="2636" customWidth="1"/>
    <col min="11521" max="11521" width="1.07421875" style="2636" customWidth="1"/>
    <col min="11522" max="11522" width="9.07421875" style="2636" customWidth="1"/>
    <col min="11523" max="11523" width="1.07421875" style="2636" customWidth="1"/>
    <col min="11524" max="11524" width="10" style="2636" customWidth="1"/>
    <col min="11525" max="11525" width="1.07421875" style="2636" customWidth="1"/>
    <col min="11526" max="11526" width="9.07421875" style="2636" customWidth="1"/>
    <col min="11527" max="11527" width="1.07421875" style="2636" customWidth="1"/>
    <col min="11528" max="11528" width="11.07421875" style="2636" customWidth="1"/>
    <col min="11529" max="11529" width="1.07421875" style="2636" customWidth="1"/>
    <col min="11530" max="11530" width="9.07421875" style="2636" customWidth="1"/>
    <col min="11531" max="11531" width="1.765625" style="2636" customWidth="1"/>
    <col min="11532" max="11532" width="11" style="2636" customWidth="1"/>
    <col min="11533" max="11533" width="1.07421875" style="2636" customWidth="1"/>
    <col min="11534" max="11534" width="10.765625" style="2636" customWidth="1"/>
    <col min="11535" max="11535" width="1.07421875" style="2636" customWidth="1"/>
    <col min="11536" max="11536" width="10" style="2636" customWidth="1"/>
    <col min="11537" max="11537" width="1.07421875" style="2636" customWidth="1"/>
    <col min="11538" max="11538" width="9.07421875" style="2636" customWidth="1"/>
    <col min="11539" max="11539" width="1.07421875" style="2636" customWidth="1"/>
    <col min="11540" max="11540" width="7.765625" style="2636" customWidth="1"/>
    <col min="11541" max="11541" width="1.07421875" style="2636" customWidth="1"/>
    <col min="11542" max="11542" width="0.765625" style="2636" customWidth="1"/>
    <col min="11543" max="11543" width="9.07421875" style="2636" customWidth="1"/>
    <col min="11544" max="11544" width="1.07421875" style="2636" customWidth="1"/>
    <col min="11545" max="11545" width="0.765625" style="2636" customWidth="1"/>
    <col min="11546" max="11546" width="9.53515625" style="2636" bestFit="1" customWidth="1"/>
    <col min="11547" max="11548" width="0.765625" style="2636" customWidth="1"/>
    <col min="11549" max="11549" width="9.765625" style="2636" customWidth="1"/>
    <col min="11550" max="11550" width="1.07421875" style="2636" customWidth="1"/>
    <col min="11551" max="11551" width="8.53515625" style="2636" customWidth="1"/>
    <col min="11552" max="11552" width="14.53515625" style="2636" customWidth="1"/>
    <col min="11553" max="11553" width="10" style="2636" customWidth="1"/>
    <col min="11554" max="11554" width="7.765625" style="2636" bestFit="1" customWidth="1"/>
    <col min="11555" max="11555" width="9.765625" style="2636" customWidth="1"/>
    <col min="11556" max="11772" width="8.765625" style="2636"/>
    <col min="11773" max="11773" width="38.4609375" style="2636" customWidth="1"/>
    <col min="11774" max="11774" width="8.53515625" style="2636" customWidth="1"/>
    <col min="11775" max="11775" width="1.07421875" style="2636" customWidth="1"/>
    <col min="11776" max="11776" width="8.765625" style="2636" customWidth="1"/>
    <col min="11777" max="11777" width="1.07421875" style="2636" customWidth="1"/>
    <col min="11778" max="11778" width="9.07421875" style="2636" customWidth="1"/>
    <col min="11779" max="11779" width="1.07421875" style="2636" customWidth="1"/>
    <col min="11780" max="11780" width="10" style="2636" customWidth="1"/>
    <col min="11781" max="11781" width="1.07421875" style="2636" customWidth="1"/>
    <col min="11782" max="11782" width="9.07421875" style="2636" customWidth="1"/>
    <col min="11783" max="11783" width="1.07421875" style="2636" customWidth="1"/>
    <col min="11784" max="11784" width="11.07421875" style="2636" customWidth="1"/>
    <col min="11785" max="11785" width="1.07421875" style="2636" customWidth="1"/>
    <col min="11786" max="11786" width="9.07421875" style="2636" customWidth="1"/>
    <col min="11787" max="11787" width="1.765625" style="2636" customWidth="1"/>
    <col min="11788" max="11788" width="11" style="2636" customWidth="1"/>
    <col min="11789" max="11789" width="1.07421875" style="2636" customWidth="1"/>
    <col min="11790" max="11790" width="10.765625" style="2636" customWidth="1"/>
    <col min="11791" max="11791" width="1.07421875" style="2636" customWidth="1"/>
    <col min="11792" max="11792" width="10" style="2636" customWidth="1"/>
    <col min="11793" max="11793" width="1.07421875" style="2636" customWidth="1"/>
    <col min="11794" max="11794" width="9.07421875" style="2636" customWidth="1"/>
    <col min="11795" max="11795" width="1.07421875" style="2636" customWidth="1"/>
    <col min="11796" max="11796" width="7.765625" style="2636" customWidth="1"/>
    <col min="11797" max="11797" width="1.07421875" style="2636" customWidth="1"/>
    <col min="11798" max="11798" width="0.765625" style="2636" customWidth="1"/>
    <col min="11799" max="11799" width="9.07421875" style="2636" customWidth="1"/>
    <col min="11800" max="11800" width="1.07421875" style="2636" customWidth="1"/>
    <col min="11801" max="11801" width="0.765625" style="2636" customWidth="1"/>
    <col min="11802" max="11802" width="9.53515625" style="2636" bestFit="1" customWidth="1"/>
    <col min="11803" max="11804" width="0.765625" style="2636" customWidth="1"/>
    <col min="11805" max="11805" width="9.765625" style="2636" customWidth="1"/>
    <col min="11806" max="11806" width="1.07421875" style="2636" customWidth="1"/>
    <col min="11807" max="11807" width="8.53515625" style="2636" customWidth="1"/>
    <col min="11808" max="11808" width="14.53515625" style="2636" customWidth="1"/>
    <col min="11809" max="11809" width="10" style="2636" customWidth="1"/>
    <col min="11810" max="11810" width="7.765625" style="2636" bestFit="1" customWidth="1"/>
    <col min="11811" max="11811" width="9.765625" style="2636" customWidth="1"/>
    <col min="11812" max="12028" width="8.765625" style="2636"/>
    <col min="12029" max="12029" width="38.4609375" style="2636" customWidth="1"/>
    <col min="12030" max="12030" width="8.53515625" style="2636" customWidth="1"/>
    <col min="12031" max="12031" width="1.07421875" style="2636" customWidth="1"/>
    <col min="12032" max="12032" width="8.765625" style="2636" customWidth="1"/>
    <col min="12033" max="12033" width="1.07421875" style="2636" customWidth="1"/>
    <col min="12034" max="12034" width="9.07421875" style="2636" customWidth="1"/>
    <col min="12035" max="12035" width="1.07421875" style="2636" customWidth="1"/>
    <col min="12036" max="12036" width="10" style="2636" customWidth="1"/>
    <col min="12037" max="12037" width="1.07421875" style="2636" customWidth="1"/>
    <col min="12038" max="12038" width="9.07421875" style="2636" customWidth="1"/>
    <col min="12039" max="12039" width="1.07421875" style="2636" customWidth="1"/>
    <col min="12040" max="12040" width="11.07421875" style="2636" customWidth="1"/>
    <col min="12041" max="12041" width="1.07421875" style="2636" customWidth="1"/>
    <col min="12042" max="12042" width="9.07421875" style="2636" customWidth="1"/>
    <col min="12043" max="12043" width="1.765625" style="2636" customWidth="1"/>
    <col min="12044" max="12044" width="11" style="2636" customWidth="1"/>
    <col min="12045" max="12045" width="1.07421875" style="2636" customWidth="1"/>
    <col min="12046" max="12046" width="10.765625" style="2636" customWidth="1"/>
    <col min="12047" max="12047" width="1.07421875" style="2636" customWidth="1"/>
    <col min="12048" max="12048" width="10" style="2636" customWidth="1"/>
    <col min="12049" max="12049" width="1.07421875" style="2636" customWidth="1"/>
    <col min="12050" max="12050" width="9.07421875" style="2636" customWidth="1"/>
    <col min="12051" max="12051" width="1.07421875" style="2636" customWidth="1"/>
    <col min="12052" max="12052" width="7.765625" style="2636" customWidth="1"/>
    <col min="12053" max="12053" width="1.07421875" style="2636" customWidth="1"/>
    <col min="12054" max="12054" width="0.765625" style="2636" customWidth="1"/>
    <col min="12055" max="12055" width="9.07421875" style="2636" customWidth="1"/>
    <col min="12056" max="12056" width="1.07421875" style="2636" customWidth="1"/>
    <col min="12057" max="12057" width="0.765625" style="2636" customWidth="1"/>
    <col min="12058" max="12058" width="9.53515625" style="2636" bestFit="1" customWidth="1"/>
    <col min="12059" max="12060" width="0.765625" style="2636" customWidth="1"/>
    <col min="12061" max="12061" width="9.765625" style="2636" customWidth="1"/>
    <col min="12062" max="12062" width="1.07421875" style="2636" customWidth="1"/>
    <col min="12063" max="12063" width="8.53515625" style="2636" customWidth="1"/>
    <col min="12064" max="12064" width="14.53515625" style="2636" customWidth="1"/>
    <col min="12065" max="12065" width="10" style="2636" customWidth="1"/>
    <col min="12066" max="12066" width="7.765625" style="2636" bestFit="1" customWidth="1"/>
    <col min="12067" max="12067" width="9.765625" style="2636" customWidth="1"/>
    <col min="12068" max="12284" width="8.765625" style="2636"/>
    <col min="12285" max="12285" width="38.4609375" style="2636" customWidth="1"/>
    <col min="12286" max="12286" width="8.53515625" style="2636" customWidth="1"/>
    <col min="12287" max="12287" width="1.07421875" style="2636" customWidth="1"/>
    <col min="12288" max="12288" width="8.765625" style="2636" customWidth="1"/>
    <col min="12289" max="12289" width="1.07421875" style="2636" customWidth="1"/>
    <col min="12290" max="12290" width="9.07421875" style="2636" customWidth="1"/>
    <col min="12291" max="12291" width="1.07421875" style="2636" customWidth="1"/>
    <col min="12292" max="12292" width="10" style="2636" customWidth="1"/>
    <col min="12293" max="12293" width="1.07421875" style="2636" customWidth="1"/>
    <col min="12294" max="12294" width="9.07421875" style="2636" customWidth="1"/>
    <col min="12295" max="12295" width="1.07421875" style="2636" customWidth="1"/>
    <col min="12296" max="12296" width="11.07421875" style="2636" customWidth="1"/>
    <col min="12297" max="12297" width="1.07421875" style="2636" customWidth="1"/>
    <col min="12298" max="12298" width="9.07421875" style="2636" customWidth="1"/>
    <col min="12299" max="12299" width="1.765625" style="2636" customWidth="1"/>
    <col min="12300" max="12300" width="11" style="2636" customWidth="1"/>
    <col min="12301" max="12301" width="1.07421875" style="2636" customWidth="1"/>
    <col min="12302" max="12302" width="10.765625" style="2636" customWidth="1"/>
    <col min="12303" max="12303" width="1.07421875" style="2636" customWidth="1"/>
    <col min="12304" max="12304" width="10" style="2636" customWidth="1"/>
    <col min="12305" max="12305" width="1.07421875" style="2636" customWidth="1"/>
    <col min="12306" max="12306" width="9.07421875" style="2636" customWidth="1"/>
    <col min="12307" max="12307" width="1.07421875" style="2636" customWidth="1"/>
    <col min="12308" max="12308" width="7.765625" style="2636" customWidth="1"/>
    <col min="12309" max="12309" width="1.07421875" style="2636" customWidth="1"/>
    <col min="12310" max="12310" width="0.765625" style="2636" customWidth="1"/>
    <col min="12311" max="12311" width="9.07421875" style="2636" customWidth="1"/>
    <col min="12312" max="12312" width="1.07421875" style="2636" customWidth="1"/>
    <col min="12313" max="12313" width="0.765625" style="2636" customWidth="1"/>
    <col min="12314" max="12314" width="9.53515625" style="2636" bestFit="1" customWidth="1"/>
    <col min="12315" max="12316" width="0.765625" style="2636" customWidth="1"/>
    <col min="12317" max="12317" width="9.765625" style="2636" customWidth="1"/>
    <col min="12318" max="12318" width="1.07421875" style="2636" customWidth="1"/>
    <col min="12319" max="12319" width="8.53515625" style="2636" customWidth="1"/>
    <col min="12320" max="12320" width="14.53515625" style="2636" customWidth="1"/>
    <col min="12321" max="12321" width="10" style="2636" customWidth="1"/>
    <col min="12322" max="12322" width="7.765625" style="2636" bestFit="1" customWidth="1"/>
    <col min="12323" max="12323" width="9.765625" style="2636" customWidth="1"/>
    <col min="12324" max="12540" width="8.765625" style="2636"/>
    <col min="12541" max="12541" width="38.4609375" style="2636" customWidth="1"/>
    <col min="12542" max="12542" width="8.53515625" style="2636" customWidth="1"/>
    <col min="12543" max="12543" width="1.07421875" style="2636" customWidth="1"/>
    <col min="12544" max="12544" width="8.765625" style="2636" customWidth="1"/>
    <col min="12545" max="12545" width="1.07421875" style="2636" customWidth="1"/>
    <col min="12546" max="12546" width="9.07421875" style="2636" customWidth="1"/>
    <col min="12547" max="12547" width="1.07421875" style="2636" customWidth="1"/>
    <col min="12548" max="12548" width="10" style="2636" customWidth="1"/>
    <col min="12549" max="12549" width="1.07421875" style="2636" customWidth="1"/>
    <col min="12550" max="12550" width="9.07421875" style="2636" customWidth="1"/>
    <col min="12551" max="12551" width="1.07421875" style="2636" customWidth="1"/>
    <col min="12552" max="12552" width="11.07421875" style="2636" customWidth="1"/>
    <col min="12553" max="12553" width="1.07421875" style="2636" customWidth="1"/>
    <col min="12554" max="12554" width="9.07421875" style="2636" customWidth="1"/>
    <col min="12555" max="12555" width="1.765625" style="2636" customWidth="1"/>
    <col min="12556" max="12556" width="11" style="2636" customWidth="1"/>
    <col min="12557" max="12557" width="1.07421875" style="2636" customWidth="1"/>
    <col min="12558" max="12558" width="10.765625" style="2636" customWidth="1"/>
    <col min="12559" max="12559" width="1.07421875" style="2636" customWidth="1"/>
    <col min="12560" max="12560" width="10" style="2636" customWidth="1"/>
    <col min="12561" max="12561" width="1.07421875" style="2636" customWidth="1"/>
    <col min="12562" max="12562" width="9.07421875" style="2636" customWidth="1"/>
    <col min="12563" max="12563" width="1.07421875" style="2636" customWidth="1"/>
    <col min="12564" max="12564" width="7.765625" style="2636" customWidth="1"/>
    <col min="12565" max="12565" width="1.07421875" style="2636" customWidth="1"/>
    <col min="12566" max="12566" width="0.765625" style="2636" customWidth="1"/>
    <col min="12567" max="12567" width="9.07421875" style="2636" customWidth="1"/>
    <col min="12568" max="12568" width="1.07421875" style="2636" customWidth="1"/>
    <col min="12569" max="12569" width="0.765625" style="2636" customWidth="1"/>
    <col min="12570" max="12570" width="9.53515625" style="2636" bestFit="1" customWidth="1"/>
    <col min="12571" max="12572" width="0.765625" style="2636" customWidth="1"/>
    <col min="12573" max="12573" width="9.765625" style="2636" customWidth="1"/>
    <col min="12574" max="12574" width="1.07421875" style="2636" customWidth="1"/>
    <col min="12575" max="12575" width="8.53515625" style="2636" customWidth="1"/>
    <col min="12576" max="12576" width="14.53515625" style="2636" customWidth="1"/>
    <col min="12577" max="12577" width="10" style="2636" customWidth="1"/>
    <col min="12578" max="12578" width="7.765625" style="2636" bestFit="1" customWidth="1"/>
    <col min="12579" max="12579" width="9.765625" style="2636" customWidth="1"/>
    <col min="12580" max="12796" width="8.765625" style="2636"/>
    <col min="12797" max="12797" width="38.4609375" style="2636" customWidth="1"/>
    <col min="12798" max="12798" width="8.53515625" style="2636" customWidth="1"/>
    <col min="12799" max="12799" width="1.07421875" style="2636" customWidth="1"/>
    <col min="12800" max="12800" width="8.765625" style="2636" customWidth="1"/>
    <col min="12801" max="12801" width="1.07421875" style="2636" customWidth="1"/>
    <col min="12802" max="12802" width="9.07421875" style="2636" customWidth="1"/>
    <col min="12803" max="12803" width="1.07421875" style="2636" customWidth="1"/>
    <col min="12804" max="12804" width="10" style="2636" customWidth="1"/>
    <col min="12805" max="12805" width="1.07421875" style="2636" customWidth="1"/>
    <col min="12806" max="12806" width="9.07421875" style="2636" customWidth="1"/>
    <col min="12807" max="12807" width="1.07421875" style="2636" customWidth="1"/>
    <col min="12808" max="12808" width="11.07421875" style="2636" customWidth="1"/>
    <col min="12809" max="12809" width="1.07421875" style="2636" customWidth="1"/>
    <col min="12810" max="12810" width="9.07421875" style="2636" customWidth="1"/>
    <col min="12811" max="12811" width="1.765625" style="2636" customWidth="1"/>
    <col min="12812" max="12812" width="11" style="2636" customWidth="1"/>
    <col min="12813" max="12813" width="1.07421875" style="2636" customWidth="1"/>
    <col min="12814" max="12814" width="10.765625" style="2636" customWidth="1"/>
    <col min="12815" max="12815" width="1.07421875" style="2636" customWidth="1"/>
    <col min="12816" max="12816" width="10" style="2636" customWidth="1"/>
    <col min="12817" max="12817" width="1.07421875" style="2636" customWidth="1"/>
    <col min="12818" max="12818" width="9.07421875" style="2636" customWidth="1"/>
    <col min="12819" max="12819" width="1.07421875" style="2636" customWidth="1"/>
    <col min="12820" max="12820" width="7.765625" style="2636" customWidth="1"/>
    <col min="12821" max="12821" width="1.07421875" style="2636" customWidth="1"/>
    <col min="12822" max="12822" width="0.765625" style="2636" customWidth="1"/>
    <col min="12823" max="12823" width="9.07421875" style="2636" customWidth="1"/>
    <col min="12824" max="12824" width="1.07421875" style="2636" customWidth="1"/>
    <col min="12825" max="12825" width="0.765625" style="2636" customWidth="1"/>
    <col min="12826" max="12826" width="9.53515625" style="2636" bestFit="1" customWidth="1"/>
    <col min="12827" max="12828" width="0.765625" style="2636" customWidth="1"/>
    <col min="12829" max="12829" width="9.765625" style="2636" customWidth="1"/>
    <col min="12830" max="12830" width="1.07421875" style="2636" customWidth="1"/>
    <col min="12831" max="12831" width="8.53515625" style="2636" customWidth="1"/>
    <col min="12832" max="12832" width="14.53515625" style="2636" customWidth="1"/>
    <col min="12833" max="12833" width="10" style="2636" customWidth="1"/>
    <col min="12834" max="12834" width="7.765625" style="2636" bestFit="1" customWidth="1"/>
    <col min="12835" max="12835" width="9.765625" style="2636" customWidth="1"/>
    <col min="12836" max="13052" width="8.765625" style="2636"/>
    <col min="13053" max="13053" width="38.4609375" style="2636" customWidth="1"/>
    <col min="13054" max="13054" width="8.53515625" style="2636" customWidth="1"/>
    <col min="13055" max="13055" width="1.07421875" style="2636" customWidth="1"/>
    <col min="13056" max="13056" width="8.765625" style="2636" customWidth="1"/>
    <col min="13057" max="13057" width="1.07421875" style="2636" customWidth="1"/>
    <col min="13058" max="13058" width="9.07421875" style="2636" customWidth="1"/>
    <col min="13059" max="13059" width="1.07421875" style="2636" customWidth="1"/>
    <col min="13060" max="13060" width="10" style="2636" customWidth="1"/>
    <col min="13061" max="13061" width="1.07421875" style="2636" customWidth="1"/>
    <col min="13062" max="13062" width="9.07421875" style="2636" customWidth="1"/>
    <col min="13063" max="13063" width="1.07421875" style="2636" customWidth="1"/>
    <col min="13064" max="13064" width="11.07421875" style="2636" customWidth="1"/>
    <col min="13065" max="13065" width="1.07421875" style="2636" customWidth="1"/>
    <col min="13066" max="13066" width="9.07421875" style="2636" customWidth="1"/>
    <col min="13067" max="13067" width="1.765625" style="2636" customWidth="1"/>
    <col min="13068" max="13068" width="11" style="2636" customWidth="1"/>
    <col min="13069" max="13069" width="1.07421875" style="2636" customWidth="1"/>
    <col min="13070" max="13070" width="10.765625" style="2636" customWidth="1"/>
    <col min="13071" max="13071" width="1.07421875" style="2636" customWidth="1"/>
    <col min="13072" max="13072" width="10" style="2636" customWidth="1"/>
    <col min="13073" max="13073" width="1.07421875" style="2636" customWidth="1"/>
    <col min="13074" max="13074" width="9.07421875" style="2636" customWidth="1"/>
    <col min="13075" max="13075" width="1.07421875" style="2636" customWidth="1"/>
    <col min="13076" max="13076" width="7.765625" style="2636" customWidth="1"/>
    <col min="13077" max="13077" width="1.07421875" style="2636" customWidth="1"/>
    <col min="13078" max="13078" width="0.765625" style="2636" customWidth="1"/>
    <col min="13079" max="13079" width="9.07421875" style="2636" customWidth="1"/>
    <col min="13080" max="13080" width="1.07421875" style="2636" customWidth="1"/>
    <col min="13081" max="13081" width="0.765625" style="2636" customWidth="1"/>
    <col min="13082" max="13082" width="9.53515625" style="2636" bestFit="1" customWidth="1"/>
    <col min="13083" max="13084" width="0.765625" style="2636" customWidth="1"/>
    <col min="13085" max="13085" width="9.765625" style="2636" customWidth="1"/>
    <col min="13086" max="13086" width="1.07421875" style="2636" customWidth="1"/>
    <col min="13087" max="13087" width="8.53515625" style="2636" customWidth="1"/>
    <col min="13088" max="13088" width="14.53515625" style="2636" customWidth="1"/>
    <col min="13089" max="13089" width="10" style="2636" customWidth="1"/>
    <col min="13090" max="13090" width="7.765625" style="2636" bestFit="1" customWidth="1"/>
    <col min="13091" max="13091" width="9.765625" style="2636" customWidth="1"/>
    <col min="13092" max="13308" width="8.765625" style="2636"/>
    <col min="13309" max="13309" width="38.4609375" style="2636" customWidth="1"/>
    <col min="13310" max="13310" width="8.53515625" style="2636" customWidth="1"/>
    <col min="13311" max="13311" width="1.07421875" style="2636" customWidth="1"/>
    <col min="13312" max="13312" width="8.765625" style="2636" customWidth="1"/>
    <col min="13313" max="13313" width="1.07421875" style="2636" customWidth="1"/>
    <col min="13314" max="13314" width="9.07421875" style="2636" customWidth="1"/>
    <col min="13315" max="13315" width="1.07421875" style="2636" customWidth="1"/>
    <col min="13316" max="13316" width="10" style="2636" customWidth="1"/>
    <col min="13317" max="13317" width="1.07421875" style="2636" customWidth="1"/>
    <col min="13318" max="13318" width="9.07421875" style="2636" customWidth="1"/>
    <col min="13319" max="13319" width="1.07421875" style="2636" customWidth="1"/>
    <col min="13320" max="13320" width="11.07421875" style="2636" customWidth="1"/>
    <col min="13321" max="13321" width="1.07421875" style="2636" customWidth="1"/>
    <col min="13322" max="13322" width="9.07421875" style="2636" customWidth="1"/>
    <col min="13323" max="13323" width="1.765625" style="2636" customWidth="1"/>
    <col min="13324" max="13324" width="11" style="2636" customWidth="1"/>
    <col min="13325" max="13325" width="1.07421875" style="2636" customWidth="1"/>
    <col min="13326" max="13326" width="10.765625" style="2636" customWidth="1"/>
    <col min="13327" max="13327" width="1.07421875" style="2636" customWidth="1"/>
    <col min="13328" max="13328" width="10" style="2636" customWidth="1"/>
    <col min="13329" max="13329" width="1.07421875" style="2636" customWidth="1"/>
    <col min="13330" max="13330" width="9.07421875" style="2636" customWidth="1"/>
    <col min="13331" max="13331" width="1.07421875" style="2636" customWidth="1"/>
    <col min="13332" max="13332" width="7.765625" style="2636" customWidth="1"/>
    <col min="13333" max="13333" width="1.07421875" style="2636" customWidth="1"/>
    <col min="13334" max="13334" width="0.765625" style="2636" customWidth="1"/>
    <col min="13335" max="13335" width="9.07421875" style="2636" customWidth="1"/>
    <col min="13336" max="13336" width="1.07421875" style="2636" customWidth="1"/>
    <col min="13337" max="13337" width="0.765625" style="2636" customWidth="1"/>
    <col min="13338" max="13338" width="9.53515625" style="2636" bestFit="1" customWidth="1"/>
    <col min="13339" max="13340" width="0.765625" style="2636" customWidth="1"/>
    <col min="13341" max="13341" width="9.765625" style="2636" customWidth="1"/>
    <col min="13342" max="13342" width="1.07421875" style="2636" customWidth="1"/>
    <col min="13343" max="13343" width="8.53515625" style="2636" customWidth="1"/>
    <col min="13344" max="13344" width="14.53515625" style="2636" customWidth="1"/>
    <col min="13345" max="13345" width="10" style="2636" customWidth="1"/>
    <col min="13346" max="13346" width="7.765625" style="2636" bestFit="1" customWidth="1"/>
    <col min="13347" max="13347" width="9.765625" style="2636" customWidth="1"/>
    <col min="13348" max="13564" width="8.765625" style="2636"/>
    <col min="13565" max="13565" width="38.4609375" style="2636" customWidth="1"/>
    <col min="13566" max="13566" width="8.53515625" style="2636" customWidth="1"/>
    <col min="13567" max="13567" width="1.07421875" style="2636" customWidth="1"/>
    <col min="13568" max="13568" width="8.765625" style="2636" customWidth="1"/>
    <col min="13569" max="13569" width="1.07421875" style="2636" customWidth="1"/>
    <col min="13570" max="13570" width="9.07421875" style="2636" customWidth="1"/>
    <col min="13571" max="13571" width="1.07421875" style="2636" customWidth="1"/>
    <col min="13572" max="13572" width="10" style="2636" customWidth="1"/>
    <col min="13573" max="13573" width="1.07421875" style="2636" customWidth="1"/>
    <col min="13574" max="13574" width="9.07421875" style="2636" customWidth="1"/>
    <col min="13575" max="13575" width="1.07421875" style="2636" customWidth="1"/>
    <col min="13576" max="13576" width="11.07421875" style="2636" customWidth="1"/>
    <col min="13577" max="13577" width="1.07421875" style="2636" customWidth="1"/>
    <col min="13578" max="13578" width="9.07421875" style="2636" customWidth="1"/>
    <col min="13579" max="13579" width="1.765625" style="2636" customWidth="1"/>
    <col min="13580" max="13580" width="11" style="2636" customWidth="1"/>
    <col min="13581" max="13581" width="1.07421875" style="2636" customWidth="1"/>
    <col min="13582" max="13582" width="10.765625" style="2636" customWidth="1"/>
    <col min="13583" max="13583" width="1.07421875" style="2636" customWidth="1"/>
    <col min="13584" max="13584" width="10" style="2636" customWidth="1"/>
    <col min="13585" max="13585" width="1.07421875" style="2636" customWidth="1"/>
    <col min="13586" max="13586" width="9.07421875" style="2636" customWidth="1"/>
    <col min="13587" max="13587" width="1.07421875" style="2636" customWidth="1"/>
    <col min="13588" max="13588" width="7.765625" style="2636" customWidth="1"/>
    <col min="13589" max="13589" width="1.07421875" style="2636" customWidth="1"/>
    <col min="13590" max="13590" width="0.765625" style="2636" customWidth="1"/>
    <col min="13591" max="13591" width="9.07421875" style="2636" customWidth="1"/>
    <col min="13592" max="13592" width="1.07421875" style="2636" customWidth="1"/>
    <col min="13593" max="13593" width="0.765625" style="2636" customWidth="1"/>
    <col min="13594" max="13594" width="9.53515625" style="2636" bestFit="1" customWidth="1"/>
    <col min="13595" max="13596" width="0.765625" style="2636" customWidth="1"/>
    <col min="13597" max="13597" width="9.765625" style="2636" customWidth="1"/>
    <col min="13598" max="13598" width="1.07421875" style="2636" customWidth="1"/>
    <col min="13599" max="13599" width="8.53515625" style="2636" customWidth="1"/>
    <col min="13600" max="13600" width="14.53515625" style="2636" customWidth="1"/>
    <col min="13601" max="13601" width="10" style="2636" customWidth="1"/>
    <col min="13602" max="13602" width="7.765625" style="2636" bestFit="1" customWidth="1"/>
    <col min="13603" max="13603" width="9.765625" style="2636" customWidth="1"/>
    <col min="13604" max="13820" width="8.765625" style="2636"/>
    <col min="13821" max="13821" width="38.4609375" style="2636" customWidth="1"/>
    <col min="13822" max="13822" width="8.53515625" style="2636" customWidth="1"/>
    <col min="13823" max="13823" width="1.07421875" style="2636" customWidth="1"/>
    <col min="13824" max="13824" width="8.765625" style="2636" customWidth="1"/>
    <col min="13825" max="13825" width="1.07421875" style="2636" customWidth="1"/>
    <col min="13826" max="13826" width="9.07421875" style="2636" customWidth="1"/>
    <col min="13827" max="13827" width="1.07421875" style="2636" customWidth="1"/>
    <col min="13828" max="13828" width="10" style="2636" customWidth="1"/>
    <col min="13829" max="13829" width="1.07421875" style="2636" customWidth="1"/>
    <col min="13830" max="13830" width="9.07421875" style="2636" customWidth="1"/>
    <col min="13831" max="13831" width="1.07421875" style="2636" customWidth="1"/>
    <col min="13832" max="13832" width="11.07421875" style="2636" customWidth="1"/>
    <col min="13833" max="13833" width="1.07421875" style="2636" customWidth="1"/>
    <col min="13834" max="13834" width="9.07421875" style="2636" customWidth="1"/>
    <col min="13835" max="13835" width="1.765625" style="2636" customWidth="1"/>
    <col min="13836" max="13836" width="11" style="2636" customWidth="1"/>
    <col min="13837" max="13837" width="1.07421875" style="2636" customWidth="1"/>
    <col min="13838" max="13838" width="10.765625" style="2636" customWidth="1"/>
    <col min="13839" max="13839" width="1.07421875" style="2636" customWidth="1"/>
    <col min="13840" max="13840" width="10" style="2636" customWidth="1"/>
    <col min="13841" max="13841" width="1.07421875" style="2636" customWidth="1"/>
    <col min="13842" max="13842" width="9.07421875" style="2636" customWidth="1"/>
    <col min="13843" max="13843" width="1.07421875" style="2636" customWidth="1"/>
    <col min="13844" max="13844" width="7.765625" style="2636" customWidth="1"/>
    <col min="13845" max="13845" width="1.07421875" style="2636" customWidth="1"/>
    <col min="13846" max="13846" width="0.765625" style="2636" customWidth="1"/>
    <col min="13847" max="13847" width="9.07421875" style="2636" customWidth="1"/>
    <col min="13848" max="13848" width="1.07421875" style="2636" customWidth="1"/>
    <col min="13849" max="13849" width="0.765625" style="2636" customWidth="1"/>
    <col min="13850" max="13850" width="9.53515625" style="2636" bestFit="1" customWidth="1"/>
    <col min="13851" max="13852" width="0.765625" style="2636" customWidth="1"/>
    <col min="13853" max="13853" width="9.765625" style="2636" customWidth="1"/>
    <col min="13854" max="13854" width="1.07421875" style="2636" customWidth="1"/>
    <col min="13855" max="13855" width="8.53515625" style="2636" customWidth="1"/>
    <col min="13856" max="13856" width="14.53515625" style="2636" customWidth="1"/>
    <col min="13857" max="13857" width="10" style="2636" customWidth="1"/>
    <col min="13858" max="13858" width="7.765625" style="2636" bestFit="1" customWidth="1"/>
    <col min="13859" max="13859" width="9.765625" style="2636" customWidth="1"/>
    <col min="13860" max="14076" width="8.765625" style="2636"/>
    <col min="14077" max="14077" width="38.4609375" style="2636" customWidth="1"/>
    <col min="14078" max="14078" width="8.53515625" style="2636" customWidth="1"/>
    <col min="14079" max="14079" width="1.07421875" style="2636" customWidth="1"/>
    <col min="14080" max="14080" width="8.765625" style="2636" customWidth="1"/>
    <col min="14081" max="14081" width="1.07421875" style="2636" customWidth="1"/>
    <col min="14082" max="14082" width="9.07421875" style="2636" customWidth="1"/>
    <col min="14083" max="14083" width="1.07421875" style="2636" customWidth="1"/>
    <col min="14084" max="14084" width="10" style="2636" customWidth="1"/>
    <col min="14085" max="14085" width="1.07421875" style="2636" customWidth="1"/>
    <col min="14086" max="14086" width="9.07421875" style="2636" customWidth="1"/>
    <col min="14087" max="14087" width="1.07421875" style="2636" customWidth="1"/>
    <col min="14088" max="14088" width="11.07421875" style="2636" customWidth="1"/>
    <col min="14089" max="14089" width="1.07421875" style="2636" customWidth="1"/>
    <col min="14090" max="14090" width="9.07421875" style="2636" customWidth="1"/>
    <col min="14091" max="14091" width="1.765625" style="2636" customWidth="1"/>
    <col min="14092" max="14092" width="11" style="2636" customWidth="1"/>
    <col min="14093" max="14093" width="1.07421875" style="2636" customWidth="1"/>
    <col min="14094" max="14094" width="10.765625" style="2636" customWidth="1"/>
    <col min="14095" max="14095" width="1.07421875" style="2636" customWidth="1"/>
    <col min="14096" max="14096" width="10" style="2636" customWidth="1"/>
    <col min="14097" max="14097" width="1.07421875" style="2636" customWidth="1"/>
    <col min="14098" max="14098" width="9.07421875" style="2636" customWidth="1"/>
    <col min="14099" max="14099" width="1.07421875" style="2636" customWidth="1"/>
    <col min="14100" max="14100" width="7.765625" style="2636" customWidth="1"/>
    <col min="14101" max="14101" width="1.07421875" style="2636" customWidth="1"/>
    <col min="14102" max="14102" width="0.765625" style="2636" customWidth="1"/>
    <col min="14103" max="14103" width="9.07421875" style="2636" customWidth="1"/>
    <col min="14104" max="14104" width="1.07421875" style="2636" customWidth="1"/>
    <col min="14105" max="14105" width="0.765625" style="2636" customWidth="1"/>
    <col min="14106" max="14106" width="9.53515625" style="2636" bestFit="1" customWidth="1"/>
    <col min="14107" max="14108" width="0.765625" style="2636" customWidth="1"/>
    <col min="14109" max="14109" width="9.765625" style="2636" customWidth="1"/>
    <col min="14110" max="14110" width="1.07421875" style="2636" customWidth="1"/>
    <col min="14111" max="14111" width="8.53515625" style="2636" customWidth="1"/>
    <col min="14112" max="14112" width="14.53515625" style="2636" customWidth="1"/>
    <col min="14113" max="14113" width="10" style="2636" customWidth="1"/>
    <col min="14114" max="14114" width="7.765625" style="2636" bestFit="1" customWidth="1"/>
    <col min="14115" max="14115" width="9.765625" style="2636" customWidth="1"/>
    <col min="14116" max="14332" width="8.765625" style="2636"/>
    <col min="14333" max="14333" width="38.4609375" style="2636" customWidth="1"/>
    <col min="14334" max="14334" width="8.53515625" style="2636" customWidth="1"/>
    <col min="14335" max="14335" width="1.07421875" style="2636" customWidth="1"/>
    <col min="14336" max="14336" width="8.765625" style="2636" customWidth="1"/>
    <col min="14337" max="14337" width="1.07421875" style="2636" customWidth="1"/>
    <col min="14338" max="14338" width="9.07421875" style="2636" customWidth="1"/>
    <col min="14339" max="14339" width="1.07421875" style="2636" customWidth="1"/>
    <col min="14340" max="14340" width="10" style="2636" customWidth="1"/>
    <col min="14341" max="14341" width="1.07421875" style="2636" customWidth="1"/>
    <col min="14342" max="14342" width="9.07421875" style="2636" customWidth="1"/>
    <col min="14343" max="14343" width="1.07421875" style="2636" customWidth="1"/>
    <col min="14344" max="14344" width="11.07421875" style="2636" customWidth="1"/>
    <col min="14345" max="14345" width="1.07421875" style="2636" customWidth="1"/>
    <col min="14346" max="14346" width="9.07421875" style="2636" customWidth="1"/>
    <col min="14347" max="14347" width="1.765625" style="2636" customWidth="1"/>
    <col min="14348" max="14348" width="11" style="2636" customWidth="1"/>
    <col min="14349" max="14349" width="1.07421875" style="2636" customWidth="1"/>
    <col min="14350" max="14350" width="10.765625" style="2636" customWidth="1"/>
    <col min="14351" max="14351" width="1.07421875" style="2636" customWidth="1"/>
    <col min="14352" max="14352" width="10" style="2636" customWidth="1"/>
    <col min="14353" max="14353" width="1.07421875" style="2636" customWidth="1"/>
    <col min="14354" max="14354" width="9.07421875" style="2636" customWidth="1"/>
    <col min="14355" max="14355" width="1.07421875" style="2636" customWidth="1"/>
    <col min="14356" max="14356" width="7.765625" style="2636" customWidth="1"/>
    <col min="14357" max="14357" width="1.07421875" style="2636" customWidth="1"/>
    <col min="14358" max="14358" width="0.765625" style="2636" customWidth="1"/>
    <col min="14359" max="14359" width="9.07421875" style="2636" customWidth="1"/>
    <col min="14360" max="14360" width="1.07421875" style="2636" customWidth="1"/>
    <col min="14361" max="14361" width="0.765625" style="2636" customWidth="1"/>
    <col min="14362" max="14362" width="9.53515625" style="2636" bestFit="1" customWidth="1"/>
    <col min="14363" max="14364" width="0.765625" style="2636" customWidth="1"/>
    <col min="14365" max="14365" width="9.765625" style="2636" customWidth="1"/>
    <col min="14366" max="14366" width="1.07421875" style="2636" customWidth="1"/>
    <col min="14367" max="14367" width="8.53515625" style="2636" customWidth="1"/>
    <col min="14368" max="14368" width="14.53515625" style="2636" customWidth="1"/>
    <col min="14369" max="14369" width="10" style="2636" customWidth="1"/>
    <col min="14370" max="14370" width="7.765625" style="2636" bestFit="1" customWidth="1"/>
    <col min="14371" max="14371" width="9.765625" style="2636" customWidth="1"/>
    <col min="14372" max="14588" width="8.765625" style="2636"/>
    <col min="14589" max="14589" width="38.4609375" style="2636" customWidth="1"/>
    <col min="14590" max="14590" width="8.53515625" style="2636" customWidth="1"/>
    <col min="14591" max="14591" width="1.07421875" style="2636" customWidth="1"/>
    <col min="14592" max="14592" width="8.765625" style="2636" customWidth="1"/>
    <col min="14593" max="14593" width="1.07421875" style="2636" customWidth="1"/>
    <col min="14594" max="14594" width="9.07421875" style="2636" customWidth="1"/>
    <col min="14595" max="14595" width="1.07421875" style="2636" customWidth="1"/>
    <col min="14596" max="14596" width="10" style="2636" customWidth="1"/>
    <col min="14597" max="14597" width="1.07421875" style="2636" customWidth="1"/>
    <col min="14598" max="14598" width="9.07421875" style="2636" customWidth="1"/>
    <col min="14599" max="14599" width="1.07421875" style="2636" customWidth="1"/>
    <col min="14600" max="14600" width="11.07421875" style="2636" customWidth="1"/>
    <col min="14601" max="14601" width="1.07421875" style="2636" customWidth="1"/>
    <col min="14602" max="14602" width="9.07421875" style="2636" customWidth="1"/>
    <col min="14603" max="14603" width="1.765625" style="2636" customWidth="1"/>
    <col min="14604" max="14604" width="11" style="2636" customWidth="1"/>
    <col min="14605" max="14605" width="1.07421875" style="2636" customWidth="1"/>
    <col min="14606" max="14606" width="10.765625" style="2636" customWidth="1"/>
    <col min="14607" max="14607" width="1.07421875" style="2636" customWidth="1"/>
    <col min="14608" max="14608" width="10" style="2636" customWidth="1"/>
    <col min="14609" max="14609" width="1.07421875" style="2636" customWidth="1"/>
    <col min="14610" max="14610" width="9.07421875" style="2636" customWidth="1"/>
    <col min="14611" max="14611" width="1.07421875" style="2636" customWidth="1"/>
    <col min="14612" max="14612" width="7.765625" style="2636" customWidth="1"/>
    <col min="14613" max="14613" width="1.07421875" style="2636" customWidth="1"/>
    <col min="14614" max="14614" width="0.765625" style="2636" customWidth="1"/>
    <col min="14615" max="14615" width="9.07421875" style="2636" customWidth="1"/>
    <col min="14616" max="14616" width="1.07421875" style="2636" customWidth="1"/>
    <col min="14617" max="14617" width="0.765625" style="2636" customWidth="1"/>
    <col min="14618" max="14618" width="9.53515625" style="2636" bestFit="1" customWidth="1"/>
    <col min="14619" max="14620" width="0.765625" style="2636" customWidth="1"/>
    <col min="14621" max="14621" width="9.765625" style="2636" customWidth="1"/>
    <col min="14622" max="14622" width="1.07421875" style="2636" customWidth="1"/>
    <col min="14623" max="14623" width="8.53515625" style="2636" customWidth="1"/>
    <col min="14624" max="14624" width="14.53515625" style="2636" customWidth="1"/>
    <col min="14625" max="14625" width="10" style="2636" customWidth="1"/>
    <col min="14626" max="14626" width="7.765625" style="2636" bestFit="1" customWidth="1"/>
    <col min="14627" max="14627" width="9.765625" style="2636" customWidth="1"/>
    <col min="14628" max="14844" width="8.765625" style="2636"/>
    <col min="14845" max="14845" width="38.4609375" style="2636" customWidth="1"/>
    <col min="14846" max="14846" width="8.53515625" style="2636" customWidth="1"/>
    <col min="14847" max="14847" width="1.07421875" style="2636" customWidth="1"/>
    <col min="14848" max="14848" width="8.765625" style="2636" customWidth="1"/>
    <col min="14849" max="14849" width="1.07421875" style="2636" customWidth="1"/>
    <col min="14850" max="14850" width="9.07421875" style="2636" customWidth="1"/>
    <col min="14851" max="14851" width="1.07421875" style="2636" customWidth="1"/>
    <col min="14852" max="14852" width="10" style="2636" customWidth="1"/>
    <col min="14853" max="14853" width="1.07421875" style="2636" customWidth="1"/>
    <col min="14854" max="14854" width="9.07421875" style="2636" customWidth="1"/>
    <col min="14855" max="14855" width="1.07421875" style="2636" customWidth="1"/>
    <col min="14856" max="14856" width="11.07421875" style="2636" customWidth="1"/>
    <col min="14857" max="14857" width="1.07421875" style="2636" customWidth="1"/>
    <col min="14858" max="14858" width="9.07421875" style="2636" customWidth="1"/>
    <col min="14859" max="14859" width="1.765625" style="2636" customWidth="1"/>
    <col min="14860" max="14860" width="11" style="2636" customWidth="1"/>
    <col min="14861" max="14861" width="1.07421875" style="2636" customWidth="1"/>
    <col min="14862" max="14862" width="10.765625" style="2636" customWidth="1"/>
    <col min="14863" max="14863" width="1.07421875" style="2636" customWidth="1"/>
    <col min="14864" max="14864" width="10" style="2636" customWidth="1"/>
    <col min="14865" max="14865" width="1.07421875" style="2636" customWidth="1"/>
    <col min="14866" max="14866" width="9.07421875" style="2636" customWidth="1"/>
    <col min="14867" max="14867" width="1.07421875" style="2636" customWidth="1"/>
    <col min="14868" max="14868" width="7.765625" style="2636" customWidth="1"/>
    <col min="14869" max="14869" width="1.07421875" style="2636" customWidth="1"/>
    <col min="14870" max="14870" width="0.765625" style="2636" customWidth="1"/>
    <col min="14871" max="14871" width="9.07421875" style="2636" customWidth="1"/>
    <col min="14872" max="14872" width="1.07421875" style="2636" customWidth="1"/>
    <col min="14873" max="14873" width="0.765625" style="2636" customWidth="1"/>
    <col min="14874" max="14874" width="9.53515625" style="2636" bestFit="1" customWidth="1"/>
    <col min="14875" max="14876" width="0.765625" style="2636" customWidth="1"/>
    <col min="14877" max="14877" width="9.765625" style="2636" customWidth="1"/>
    <col min="14878" max="14878" width="1.07421875" style="2636" customWidth="1"/>
    <col min="14879" max="14879" width="8.53515625" style="2636" customWidth="1"/>
    <col min="14880" max="14880" width="14.53515625" style="2636" customWidth="1"/>
    <col min="14881" max="14881" width="10" style="2636" customWidth="1"/>
    <col min="14882" max="14882" width="7.765625" style="2636" bestFit="1" customWidth="1"/>
    <col min="14883" max="14883" width="9.765625" style="2636" customWidth="1"/>
    <col min="14884" max="15100" width="8.765625" style="2636"/>
    <col min="15101" max="15101" width="38.4609375" style="2636" customWidth="1"/>
    <col min="15102" max="15102" width="8.53515625" style="2636" customWidth="1"/>
    <col min="15103" max="15103" width="1.07421875" style="2636" customWidth="1"/>
    <col min="15104" max="15104" width="8.765625" style="2636" customWidth="1"/>
    <col min="15105" max="15105" width="1.07421875" style="2636" customWidth="1"/>
    <col min="15106" max="15106" width="9.07421875" style="2636" customWidth="1"/>
    <col min="15107" max="15107" width="1.07421875" style="2636" customWidth="1"/>
    <col min="15108" max="15108" width="10" style="2636" customWidth="1"/>
    <col min="15109" max="15109" width="1.07421875" style="2636" customWidth="1"/>
    <col min="15110" max="15110" width="9.07421875" style="2636" customWidth="1"/>
    <col min="15111" max="15111" width="1.07421875" style="2636" customWidth="1"/>
    <col min="15112" max="15112" width="11.07421875" style="2636" customWidth="1"/>
    <col min="15113" max="15113" width="1.07421875" style="2636" customWidth="1"/>
    <col min="15114" max="15114" width="9.07421875" style="2636" customWidth="1"/>
    <col min="15115" max="15115" width="1.765625" style="2636" customWidth="1"/>
    <col min="15116" max="15116" width="11" style="2636" customWidth="1"/>
    <col min="15117" max="15117" width="1.07421875" style="2636" customWidth="1"/>
    <col min="15118" max="15118" width="10.765625" style="2636" customWidth="1"/>
    <col min="15119" max="15119" width="1.07421875" style="2636" customWidth="1"/>
    <col min="15120" max="15120" width="10" style="2636" customWidth="1"/>
    <col min="15121" max="15121" width="1.07421875" style="2636" customWidth="1"/>
    <col min="15122" max="15122" width="9.07421875" style="2636" customWidth="1"/>
    <col min="15123" max="15123" width="1.07421875" style="2636" customWidth="1"/>
    <col min="15124" max="15124" width="7.765625" style="2636" customWidth="1"/>
    <col min="15125" max="15125" width="1.07421875" style="2636" customWidth="1"/>
    <col min="15126" max="15126" width="0.765625" style="2636" customWidth="1"/>
    <col min="15127" max="15127" width="9.07421875" style="2636" customWidth="1"/>
    <col min="15128" max="15128" width="1.07421875" style="2636" customWidth="1"/>
    <col min="15129" max="15129" width="0.765625" style="2636" customWidth="1"/>
    <col min="15130" max="15130" width="9.53515625" style="2636" bestFit="1" customWidth="1"/>
    <col min="15131" max="15132" width="0.765625" style="2636" customWidth="1"/>
    <col min="15133" max="15133" width="9.765625" style="2636" customWidth="1"/>
    <col min="15134" max="15134" width="1.07421875" style="2636" customWidth="1"/>
    <col min="15135" max="15135" width="8.53515625" style="2636" customWidth="1"/>
    <col min="15136" max="15136" width="14.53515625" style="2636" customWidth="1"/>
    <col min="15137" max="15137" width="10" style="2636" customWidth="1"/>
    <col min="15138" max="15138" width="7.765625" style="2636" bestFit="1" customWidth="1"/>
    <col min="15139" max="15139" width="9.765625" style="2636" customWidth="1"/>
    <col min="15140" max="15356" width="8.765625" style="2636"/>
    <col min="15357" max="15357" width="38.4609375" style="2636" customWidth="1"/>
    <col min="15358" max="15358" width="8.53515625" style="2636" customWidth="1"/>
    <col min="15359" max="15359" width="1.07421875" style="2636" customWidth="1"/>
    <col min="15360" max="15360" width="8.765625" style="2636" customWidth="1"/>
    <col min="15361" max="15361" width="1.07421875" style="2636" customWidth="1"/>
    <col min="15362" max="15362" width="9.07421875" style="2636" customWidth="1"/>
    <col min="15363" max="15363" width="1.07421875" style="2636" customWidth="1"/>
    <col min="15364" max="15364" width="10" style="2636" customWidth="1"/>
    <col min="15365" max="15365" width="1.07421875" style="2636" customWidth="1"/>
    <col min="15366" max="15366" width="9.07421875" style="2636" customWidth="1"/>
    <col min="15367" max="15367" width="1.07421875" style="2636" customWidth="1"/>
    <col min="15368" max="15368" width="11.07421875" style="2636" customWidth="1"/>
    <col min="15369" max="15369" width="1.07421875" style="2636" customWidth="1"/>
    <col min="15370" max="15370" width="9.07421875" style="2636" customWidth="1"/>
    <col min="15371" max="15371" width="1.765625" style="2636" customWidth="1"/>
    <col min="15372" max="15372" width="11" style="2636" customWidth="1"/>
    <col min="15373" max="15373" width="1.07421875" style="2636" customWidth="1"/>
    <col min="15374" max="15374" width="10.765625" style="2636" customWidth="1"/>
    <col min="15375" max="15375" width="1.07421875" style="2636" customWidth="1"/>
    <col min="15376" max="15376" width="10" style="2636" customWidth="1"/>
    <col min="15377" max="15377" width="1.07421875" style="2636" customWidth="1"/>
    <col min="15378" max="15378" width="9.07421875" style="2636" customWidth="1"/>
    <col min="15379" max="15379" width="1.07421875" style="2636" customWidth="1"/>
    <col min="15380" max="15380" width="7.765625" style="2636" customWidth="1"/>
    <col min="15381" max="15381" width="1.07421875" style="2636" customWidth="1"/>
    <col min="15382" max="15382" width="0.765625" style="2636" customWidth="1"/>
    <col min="15383" max="15383" width="9.07421875" style="2636" customWidth="1"/>
    <col min="15384" max="15384" width="1.07421875" style="2636" customWidth="1"/>
    <col min="15385" max="15385" width="0.765625" style="2636" customWidth="1"/>
    <col min="15386" max="15386" width="9.53515625" style="2636" bestFit="1" customWidth="1"/>
    <col min="15387" max="15388" width="0.765625" style="2636" customWidth="1"/>
    <col min="15389" max="15389" width="9.765625" style="2636" customWidth="1"/>
    <col min="15390" max="15390" width="1.07421875" style="2636" customWidth="1"/>
    <col min="15391" max="15391" width="8.53515625" style="2636" customWidth="1"/>
    <col min="15392" max="15392" width="14.53515625" style="2636" customWidth="1"/>
    <col min="15393" max="15393" width="10" style="2636" customWidth="1"/>
    <col min="15394" max="15394" width="7.765625" style="2636" bestFit="1" customWidth="1"/>
    <col min="15395" max="15395" width="9.765625" style="2636" customWidth="1"/>
    <col min="15396" max="15612" width="8.765625" style="2636"/>
    <col min="15613" max="15613" width="38.4609375" style="2636" customWidth="1"/>
    <col min="15614" max="15614" width="8.53515625" style="2636" customWidth="1"/>
    <col min="15615" max="15615" width="1.07421875" style="2636" customWidth="1"/>
    <col min="15616" max="15616" width="8.765625" style="2636" customWidth="1"/>
    <col min="15617" max="15617" width="1.07421875" style="2636" customWidth="1"/>
    <col min="15618" max="15618" width="9.07421875" style="2636" customWidth="1"/>
    <col min="15619" max="15619" width="1.07421875" style="2636" customWidth="1"/>
    <col min="15620" max="15620" width="10" style="2636" customWidth="1"/>
    <col min="15621" max="15621" width="1.07421875" style="2636" customWidth="1"/>
    <col min="15622" max="15622" width="9.07421875" style="2636" customWidth="1"/>
    <col min="15623" max="15623" width="1.07421875" style="2636" customWidth="1"/>
    <col min="15624" max="15624" width="11.07421875" style="2636" customWidth="1"/>
    <col min="15625" max="15625" width="1.07421875" style="2636" customWidth="1"/>
    <col min="15626" max="15626" width="9.07421875" style="2636" customWidth="1"/>
    <col min="15627" max="15627" width="1.765625" style="2636" customWidth="1"/>
    <col min="15628" max="15628" width="11" style="2636" customWidth="1"/>
    <col min="15629" max="15629" width="1.07421875" style="2636" customWidth="1"/>
    <col min="15630" max="15630" width="10.765625" style="2636" customWidth="1"/>
    <col min="15631" max="15631" width="1.07421875" style="2636" customWidth="1"/>
    <col min="15632" max="15632" width="10" style="2636" customWidth="1"/>
    <col min="15633" max="15633" width="1.07421875" style="2636" customWidth="1"/>
    <col min="15634" max="15634" width="9.07421875" style="2636" customWidth="1"/>
    <col min="15635" max="15635" width="1.07421875" style="2636" customWidth="1"/>
    <col min="15636" max="15636" width="7.765625" style="2636" customWidth="1"/>
    <col min="15637" max="15637" width="1.07421875" style="2636" customWidth="1"/>
    <col min="15638" max="15638" width="0.765625" style="2636" customWidth="1"/>
    <col min="15639" max="15639" width="9.07421875" style="2636" customWidth="1"/>
    <col min="15640" max="15640" width="1.07421875" style="2636" customWidth="1"/>
    <col min="15641" max="15641" width="0.765625" style="2636" customWidth="1"/>
    <col min="15642" max="15642" width="9.53515625" style="2636" bestFit="1" customWidth="1"/>
    <col min="15643" max="15644" width="0.765625" style="2636" customWidth="1"/>
    <col min="15645" max="15645" width="9.765625" style="2636" customWidth="1"/>
    <col min="15646" max="15646" width="1.07421875" style="2636" customWidth="1"/>
    <col min="15647" max="15647" width="8.53515625" style="2636" customWidth="1"/>
    <col min="15648" max="15648" width="14.53515625" style="2636" customWidth="1"/>
    <col min="15649" max="15649" width="10" style="2636" customWidth="1"/>
    <col min="15650" max="15650" width="7.765625" style="2636" bestFit="1" customWidth="1"/>
    <col min="15651" max="15651" width="9.765625" style="2636" customWidth="1"/>
    <col min="15652" max="15868" width="8.765625" style="2636"/>
    <col min="15869" max="15869" width="38.4609375" style="2636" customWidth="1"/>
    <col min="15870" max="15870" width="8.53515625" style="2636" customWidth="1"/>
    <col min="15871" max="15871" width="1.07421875" style="2636" customWidth="1"/>
    <col min="15872" max="15872" width="8.765625" style="2636" customWidth="1"/>
    <col min="15873" max="15873" width="1.07421875" style="2636" customWidth="1"/>
    <col min="15874" max="15874" width="9.07421875" style="2636" customWidth="1"/>
    <col min="15875" max="15875" width="1.07421875" style="2636" customWidth="1"/>
    <col min="15876" max="15876" width="10" style="2636" customWidth="1"/>
    <col min="15877" max="15877" width="1.07421875" style="2636" customWidth="1"/>
    <col min="15878" max="15878" width="9.07421875" style="2636" customWidth="1"/>
    <col min="15879" max="15879" width="1.07421875" style="2636" customWidth="1"/>
    <col min="15880" max="15880" width="11.07421875" style="2636" customWidth="1"/>
    <col min="15881" max="15881" width="1.07421875" style="2636" customWidth="1"/>
    <col min="15882" max="15882" width="9.07421875" style="2636" customWidth="1"/>
    <col min="15883" max="15883" width="1.765625" style="2636" customWidth="1"/>
    <col min="15884" max="15884" width="11" style="2636" customWidth="1"/>
    <col min="15885" max="15885" width="1.07421875" style="2636" customWidth="1"/>
    <col min="15886" max="15886" width="10.765625" style="2636" customWidth="1"/>
    <col min="15887" max="15887" width="1.07421875" style="2636" customWidth="1"/>
    <col min="15888" max="15888" width="10" style="2636" customWidth="1"/>
    <col min="15889" max="15889" width="1.07421875" style="2636" customWidth="1"/>
    <col min="15890" max="15890" width="9.07421875" style="2636" customWidth="1"/>
    <col min="15891" max="15891" width="1.07421875" style="2636" customWidth="1"/>
    <col min="15892" max="15892" width="7.765625" style="2636" customWidth="1"/>
    <col min="15893" max="15893" width="1.07421875" style="2636" customWidth="1"/>
    <col min="15894" max="15894" width="0.765625" style="2636" customWidth="1"/>
    <col min="15895" max="15895" width="9.07421875" style="2636" customWidth="1"/>
    <col min="15896" max="15896" width="1.07421875" style="2636" customWidth="1"/>
    <col min="15897" max="15897" width="0.765625" style="2636" customWidth="1"/>
    <col min="15898" max="15898" width="9.53515625" style="2636" bestFit="1" customWidth="1"/>
    <col min="15899" max="15900" width="0.765625" style="2636" customWidth="1"/>
    <col min="15901" max="15901" width="9.765625" style="2636" customWidth="1"/>
    <col min="15902" max="15902" width="1.07421875" style="2636" customWidth="1"/>
    <col min="15903" max="15903" width="8.53515625" style="2636" customWidth="1"/>
    <col min="15904" max="15904" width="14.53515625" style="2636" customWidth="1"/>
    <col min="15905" max="15905" width="10" style="2636" customWidth="1"/>
    <col min="15906" max="15906" width="7.765625" style="2636" bestFit="1" customWidth="1"/>
    <col min="15907" max="15907" width="9.765625" style="2636" customWidth="1"/>
    <col min="15908" max="16124" width="8.765625" style="2636"/>
    <col min="16125" max="16125" width="38.4609375" style="2636" customWidth="1"/>
    <col min="16126" max="16126" width="8.53515625" style="2636" customWidth="1"/>
    <col min="16127" max="16127" width="1.07421875" style="2636" customWidth="1"/>
    <col min="16128" max="16128" width="8.765625" style="2636" customWidth="1"/>
    <col min="16129" max="16129" width="1.07421875" style="2636" customWidth="1"/>
    <col min="16130" max="16130" width="9.07421875" style="2636" customWidth="1"/>
    <col min="16131" max="16131" width="1.07421875" style="2636" customWidth="1"/>
    <col min="16132" max="16132" width="10" style="2636" customWidth="1"/>
    <col min="16133" max="16133" width="1.07421875" style="2636" customWidth="1"/>
    <col min="16134" max="16134" width="9.07421875" style="2636" customWidth="1"/>
    <col min="16135" max="16135" width="1.07421875" style="2636" customWidth="1"/>
    <col min="16136" max="16136" width="11.07421875" style="2636" customWidth="1"/>
    <col min="16137" max="16137" width="1.07421875" style="2636" customWidth="1"/>
    <col min="16138" max="16138" width="9.07421875" style="2636" customWidth="1"/>
    <col min="16139" max="16139" width="1.765625" style="2636" customWidth="1"/>
    <col min="16140" max="16140" width="11" style="2636" customWidth="1"/>
    <col min="16141" max="16141" width="1.07421875" style="2636" customWidth="1"/>
    <col min="16142" max="16142" width="10.765625" style="2636" customWidth="1"/>
    <col min="16143" max="16143" width="1.07421875" style="2636" customWidth="1"/>
    <col min="16144" max="16144" width="10" style="2636" customWidth="1"/>
    <col min="16145" max="16145" width="1.07421875" style="2636" customWidth="1"/>
    <col min="16146" max="16146" width="9.07421875" style="2636" customWidth="1"/>
    <col min="16147" max="16147" width="1.07421875" style="2636" customWidth="1"/>
    <col min="16148" max="16148" width="7.765625" style="2636" customWidth="1"/>
    <col min="16149" max="16149" width="1.07421875" style="2636" customWidth="1"/>
    <col min="16150" max="16150" width="0.765625" style="2636" customWidth="1"/>
    <col min="16151" max="16151" width="9.07421875" style="2636" customWidth="1"/>
    <col min="16152" max="16152" width="1.07421875" style="2636" customWidth="1"/>
    <col min="16153" max="16153" width="0.765625" style="2636" customWidth="1"/>
    <col min="16154" max="16154" width="9.53515625" style="2636" bestFit="1" customWidth="1"/>
    <col min="16155" max="16156" width="0.765625" style="2636" customWidth="1"/>
    <col min="16157" max="16157" width="9.765625" style="2636" customWidth="1"/>
    <col min="16158" max="16158" width="1.07421875" style="2636" customWidth="1"/>
    <col min="16159" max="16159" width="8.53515625" style="2636" customWidth="1"/>
    <col min="16160" max="16160" width="14.53515625" style="2636" customWidth="1"/>
    <col min="16161" max="16161" width="10" style="2636" customWidth="1"/>
    <col min="16162" max="16162" width="7.765625" style="2636" bestFit="1" customWidth="1"/>
    <col min="16163" max="16163" width="9.765625" style="2636" customWidth="1"/>
    <col min="16164" max="16384" width="8.765625" style="2636"/>
  </cols>
  <sheetData>
    <row r="1" spans="1:36" ht="15.5">
      <c r="A1" s="2225" t="s">
        <v>885</v>
      </c>
    </row>
    <row r="2" spans="1:36" ht="10.5" customHeight="1"/>
    <row r="3" spans="1:36" ht="18">
      <c r="A3" s="2639" t="s">
        <v>0</v>
      </c>
      <c r="AI3" s="2640" t="s">
        <v>1065</v>
      </c>
    </row>
    <row r="4" spans="1:36" ht="18">
      <c r="A4" s="2641" t="s">
        <v>183</v>
      </c>
    </row>
    <row r="5" spans="1:36" ht="18">
      <c r="A5" s="2641" t="s">
        <v>147</v>
      </c>
      <c r="AB5" s="3936"/>
      <c r="AC5" s="3937"/>
      <c r="AD5" s="3937"/>
      <c r="AE5" s="2642"/>
      <c r="AF5" s="2642"/>
      <c r="AG5" s="2642"/>
      <c r="AH5" s="2642"/>
      <c r="AI5" s="2642"/>
      <c r="AJ5" s="2643"/>
    </row>
    <row r="6" spans="1:36" ht="18">
      <c r="A6" s="2639" t="str">
        <f>'Cashflow Governmental'!A6</f>
        <v xml:space="preserve">FISCAL YEAR 2021-2022   </v>
      </c>
    </row>
    <row r="7" spans="1:36" ht="18">
      <c r="A7" s="2641" t="s">
        <v>1280</v>
      </c>
    </row>
    <row r="8" spans="1:36" ht="15.5">
      <c r="AA8" s="3938" t="s">
        <v>1422</v>
      </c>
      <c r="AB8" s="3938"/>
      <c r="AC8" s="3938"/>
      <c r="AD8" s="3938"/>
      <c r="AE8" s="3938"/>
      <c r="AF8" s="3938"/>
      <c r="AG8" s="3938"/>
      <c r="AH8" s="3938"/>
      <c r="AI8" s="3938"/>
    </row>
    <row r="9" spans="1:36" ht="15.5">
      <c r="B9" s="2644" t="str">
        <f>'Cashflow Governmental'!C13</f>
        <v>2021</v>
      </c>
      <c r="C9" s="2464"/>
      <c r="D9" s="2464"/>
      <c r="E9" s="2464"/>
      <c r="F9" s="2645"/>
      <c r="G9" s="2464"/>
      <c r="H9" s="2464"/>
      <c r="I9" s="2464"/>
      <c r="J9" s="2464"/>
      <c r="K9" s="2464"/>
      <c r="L9" s="2464"/>
      <c r="M9" s="2464"/>
      <c r="N9" s="2464"/>
      <c r="O9" s="2464"/>
      <c r="P9" s="2464"/>
      <c r="Q9" s="2464"/>
      <c r="R9" s="2464"/>
      <c r="S9" s="2464"/>
      <c r="T9" s="2644">
        <f>'Cashflow Governmental'!U13</f>
        <v>2022</v>
      </c>
      <c r="U9" s="2464"/>
      <c r="V9" s="2464"/>
      <c r="W9" s="2464"/>
      <c r="X9" s="2646"/>
      <c r="Y9" s="2464"/>
      <c r="Z9" s="2464"/>
      <c r="AA9" s="2464"/>
      <c r="AB9" s="2464"/>
      <c r="AC9" s="2464"/>
      <c r="AD9" s="2464"/>
      <c r="AE9" s="2647"/>
      <c r="AF9" s="2464"/>
      <c r="AG9" s="2648" t="s">
        <v>7</v>
      </c>
      <c r="AH9" s="2649"/>
      <c r="AI9" s="2650" t="s">
        <v>8</v>
      </c>
      <c r="AJ9" s="2643"/>
    </row>
    <row r="10" spans="1:36" ht="15.5">
      <c r="B10" s="2651" t="s">
        <v>123</v>
      </c>
      <c r="C10" s="2464"/>
      <c r="D10" s="2651" t="s">
        <v>124</v>
      </c>
      <c r="E10" s="2646"/>
      <c r="F10" s="2652" t="s">
        <v>125</v>
      </c>
      <c r="G10" s="2646"/>
      <c r="H10" s="2651" t="s">
        <v>126</v>
      </c>
      <c r="I10" s="2646"/>
      <c r="J10" s="2651" t="s">
        <v>127</v>
      </c>
      <c r="K10" s="2646"/>
      <c r="L10" s="2653" t="s">
        <v>142</v>
      </c>
      <c r="M10" s="2646"/>
      <c r="N10" s="2651" t="s">
        <v>143</v>
      </c>
      <c r="O10" s="2646"/>
      <c r="P10" s="2651" t="s">
        <v>130</v>
      </c>
      <c r="Q10" s="2646"/>
      <c r="R10" s="2651" t="s">
        <v>131</v>
      </c>
      <c r="S10" s="2464"/>
      <c r="T10" s="2651" t="s">
        <v>132</v>
      </c>
      <c r="U10" s="2646"/>
      <c r="V10" s="2651" t="s">
        <v>133</v>
      </c>
      <c r="W10" s="2646"/>
      <c r="X10" s="2651" t="s">
        <v>184</v>
      </c>
      <c r="Y10" s="2646"/>
      <c r="Z10" s="2646"/>
      <c r="AA10" s="2654">
        <f>'Cashflow Governmental'!AB14</f>
        <v>2021</v>
      </c>
      <c r="AB10" s="2646"/>
      <c r="AC10" s="2646"/>
      <c r="AD10" s="2654">
        <f>'Cashflow Governmental'!AE14</f>
        <v>2020</v>
      </c>
      <c r="AE10" s="2655"/>
      <c r="AF10" s="2655"/>
      <c r="AG10" s="2656" t="s">
        <v>11</v>
      </c>
      <c r="AH10" s="2657"/>
      <c r="AI10" s="2656" t="s">
        <v>12</v>
      </c>
      <c r="AJ10" s="2643"/>
    </row>
    <row r="11" spans="1:36" ht="3" customHeight="1">
      <c r="B11" s="2658"/>
      <c r="C11" s="1452"/>
      <c r="D11" s="2658"/>
      <c r="E11" s="2659"/>
      <c r="F11" s="2660"/>
      <c r="G11" s="2659"/>
      <c r="H11" s="2658"/>
      <c r="I11" s="2659"/>
      <c r="J11" s="2658"/>
      <c r="K11" s="2659"/>
      <c r="L11" s="2661"/>
      <c r="M11" s="2659"/>
      <c r="N11" s="2658"/>
      <c r="O11" s="2659"/>
      <c r="P11" s="2658"/>
      <c r="Q11" s="2659"/>
      <c r="R11" s="2658"/>
      <c r="S11" s="1452"/>
      <c r="T11" s="2662"/>
      <c r="U11" s="2659"/>
      <c r="V11" s="2658"/>
      <c r="W11" s="2659"/>
      <c r="X11" s="2658"/>
      <c r="Y11" s="2659"/>
      <c r="Z11" s="2659"/>
      <c r="AA11" s="2663"/>
      <c r="AB11" s="2659"/>
      <c r="AC11" s="2659"/>
      <c r="AD11" s="2663"/>
      <c r="AE11" s="2663"/>
      <c r="AF11" s="2664"/>
      <c r="AG11" s="2663"/>
      <c r="AH11" s="1449"/>
      <c r="AI11" s="1452"/>
    </row>
    <row r="12" spans="1:36" ht="15.5">
      <c r="A12" s="2665" t="s">
        <v>185</v>
      </c>
      <c r="B12" s="2444">
        <v>65</v>
      </c>
      <c r="C12" s="2444"/>
      <c r="D12" s="2666"/>
      <c r="E12" s="2444"/>
      <c r="F12" s="2666"/>
      <c r="G12" s="2444"/>
      <c r="H12" s="2666"/>
      <c r="I12" s="2444"/>
      <c r="J12" s="2666"/>
      <c r="K12" s="2444"/>
      <c r="L12" s="2666"/>
      <c r="M12" s="2444"/>
      <c r="N12" s="2666"/>
      <c r="O12" s="2444"/>
      <c r="P12" s="2666"/>
      <c r="Q12" s="2444"/>
      <c r="R12" s="2666"/>
      <c r="S12" s="2444"/>
      <c r="T12" s="2666"/>
      <c r="U12" s="2444"/>
      <c r="V12" s="2666"/>
      <c r="W12" s="2444"/>
      <c r="X12" s="2666"/>
      <c r="Y12" s="2667"/>
      <c r="Z12" s="2444"/>
      <c r="AA12" s="2444">
        <f>B12</f>
        <v>65</v>
      </c>
      <c r="AB12" s="2667"/>
      <c r="AC12" s="2444"/>
      <c r="AD12" s="3455">
        <v>63.4</v>
      </c>
      <c r="AE12" s="2668"/>
      <c r="AF12" s="2669"/>
      <c r="AG12" s="2670">
        <f>ROUND(SUM(AA12-AD12),1)</f>
        <v>1.6</v>
      </c>
      <c r="AH12" s="2647"/>
      <c r="AI12" s="2671">
        <f>ROUND(SUM(AG12/AD12),3)</f>
        <v>2.5000000000000001E-2</v>
      </c>
      <c r="AJ12" s="2643"/>
    </row>
    <row r="13" spans="1:36" ht="12.75" customHeight="1">
      <c r="A13" s="1452"/>
      <c r="B13" s="1452"/>
      <c r="C13" s="1452"/>
      <c r="D13" s="1452"/>
      <c r="E13" s="1452"/>
      <c r="F13" s="1972"/>
      <c r="G13" s="1452"/>
      <c r="H13" s="1452"/>
      <c r="I13" s="1452"/>
      <c r="J13" s="1452"/>
      <c r="K13" s="1452"/>
      <c r="L13" s="1452"/>
      <c r="M13" s="1452"/>
      <c r="N13" s="1452"/>
      <c r="O13" s="1452"/>
      <c r="P13" s="1452"/>
      <c r="Q13" s="1452"/>
      <c r="R13" s="1452"/>
      <c r="S13" s="1452"/>
      <c r="T13" s="1452"/>
      <c r="U13" s="1452"/>
      <c r="V13" s="1452"/>
      <c r="W13" s="1452"/>
      <c r="X13" s="1452"/>
      <c r="Y13" s="2672"/>
      <c r="Z13" s="1452"/>
      <c r="AA13" s="1972"/>
      <c r="AB13" s="2673"/>
      <c r="AC13" s="1972"/>
      <c r="AD13" s="2596"/>
      <c r="AE13" s="2663"/>
      <c r="AF13" s="2674"/>
      <c r="AG13" s="2675"/>
      <c r="AH13" s="1449"/>
      <c r="AI13" s="1452"/>
    </row>
    <row r="14" spans="1:36" ht="14.25" customHeight="1">
      <c r="A14" s="2464" t="s">
        <v>13</v>
      </c>
      <c r="B14" s="1452"/>
      <c r="C14" s="1452"/>
      <c r="D14" s="1452"/>
      <c r="E14" s="1452"/>
      <c r="F14" s="1972"/>
      <c r="G14" s="1452"/>
      <c r="H14" s="1452"/>
      <c r="I14" s="1452"/>
      <c r="J14" s="1452"/>
      <c r="K14" s="1452"/>
      <c r="L14" s="1452"/>
      <c r="M14" s="1452"/>
      <c r="N14" s="1452"/>
      <c r="O14" s="1452"/>
      <c r="P14" s="1452"/>
      <c r="Q14" s="1452"/>
      <c r="R14" s="1452"/>
      <c r="S14" s="1452"/>
      <c r="T14" s="1452"/>
      <c r="U14" s="1452"/>
      <c r="V14" s="1452"/>
      <c r="W14" s="1452"/>
      <c r="X14" s="1452"/>
      <c r="Y14" s="2672"/>
      <c r="Z14" s="1452"/>
      <c r="AA14" s="1972"/>
      <c r="AB14" s="2673"/>
      <c r="AC14" s="1972"/>
      <c r="AD14" s="2596"/>
      <c r="AE14" s="2663"/>
      <c r="AF14" s="2674"/>
      <c r="AG14" s="2675"/>
      <c r="AH14" s="1449"/>
      <c r="AI14" s="1452"/>
    </row>
    <row r="15" spans="1:36" ht="14.25" customHeight="1">
      <c r="A15" s="2453" t="s">
        <v>997</v>
      </c>
      <c r="B15" s="1433"/>
      <c r="C15" s="1433"/>
      <c r="D15" s="1433"/>
      <c r="E15" s="2676"/>
      <c r="F15" s="1433"/>
      <c r="G15" s="2676"/>
      <c r="H15" s="1452"/>
      <c r="I15" s="1452"/>
      <c r="J15" s="1452"/>
      <c r="K15" s="1452"/>
      <c r="L15" s="1452"/>
      <c r="M15" s="1452"/>
      <c r="N15" s="1452"/>
      <c r="O15" s="1452"/>
      <c r="P15" s="1452"/>
      <c r="Q15" s="1452"/>
      <c r="R15" s="1452"/>
      <c r="S15" s="1452"/>
      <c r="T15" s="1452"/>
      <c r="U15" s="1452"/>
      <c r="V15" s="1452"/>
      <c r="W15" s="1452"/>
      <c r="X15" s="1452"/>
      <c r="Y15" s="2677"/>
      <c r="Z15" s="1452"/>
      <c r="AA15" s="1972"/>
      <c r="AB15" s="1971"/>
      <c r="AC15" s="1972"/>
      <c r="AD15" s="3088"/>
      <c r="AE15" s="2663"/>
      <c r="AF15" s="2674"/>
      <c r="AG15" s="2675"/>
      <c r="AH15" s="1449"/>
      <c r="AI15" s="1452"/>
    </row>
    <row r="16" spans="1:36" ht="14.25" customHeight="1">
      <c r="A16" s="2531" t="s">
        <v>1000</v>
      </c>
      <c r="B16" s="1359">
        <f>$AA16</f>
        <v>3262.9</v>
      </c>
      <c r="C16" s="1414"/>
      <c r="D16" s="1359"/>
      <c r="E16" s="1414"/>
      <c r="F16" s="1359"/>
      <c r="G16" s="1359"/>
      <c r="H16" s="1359"/>
      <c r="I16" s="2596"/>
      <c r="J16" s="1359"/>
      <c r="K16" s="2596"/>
      <c r="L16" s="1359"/>
      <c r="M16" s="2596"/>
      <c r="N16" s="1359"/>
      <c r="O16" s="2596"/>
      <c r="P16" s="1781"/>
      <c r="Q16" s="2596"/>
      <c r="R16" s="1781"/>
      <c r="S16" s="2596"/>
      <c r="T16" s="1781"/>
      <c r="U16" s="2596"/>
      <c r="V16" s="1781"/>
      <c r="W16" s="2596"/>
      <c r="X16" s="1781"/>
      <c r="Y16" s="2677"/>
      <c r="Z16" s="1452"/>
      <c r="AA16" s="1781">
        <v>3262.9</v>
      </c>
      <c r="AB16" s="1971"/>
      <c r="AC16" s="1972"/>
      <c r="AD16" s="1781">
        <v>1033.0999999999999</v>
      </c>
      <c r="AE16" s="2663"/>
      <c r="AF16" s="2674"/>
      <c r="AG16" s="2678">
        <f>ROUND(SUM(AA16-AD16),1)</f>
        <v>2229.8000000000002</v>
      </c>
      <c r="AH16" s="1449"/>
      <c r="AI16" s="1642">
        <f>ROUND(IF(AD16=0,0,AG16/ABS(AD16)),3)</f>
        <v>2.1579999999999999</v>
      </c>
    </row>
    <row r="17" spans="1:35" ht="6" customHeight="1">
      <c r="A17" s="2531"/>
      <c r="B17" s="1359"/>
      <c r="C17" s="1414"/>
      <c r="D17" s="1359"/>
      <c r="E17" s="1414"/>
      <c r="F17" s="1359"/>
      <c r="G17" s="2460"/>
      <c r="H17" s="1359"/>
      <c r="I17" s="1452"/>
      <c r="J17" s="1359"/>
      <c r="K17" s="1452"/>
      <c r="L17" s="1359"/>
      <c r="M17" s="1452"/>
      <c r="N17" s="1359"/>
      <c r="O17" s="1452"/>
      <c r="P17" s="1781"/>
      <c r="Q17" s="1452"/>
      <c r="R17" s="1781"/>
      <c r="S17" s="1452"/>
      <c r="T17" s="1781"/>
      <c r="U17" s="1452"/>
      <c r="V17" s="1781"/>
      <c r="W17" s="1452"/>
      <c r="X17" s="1781"/>
      <c r="Y17" s="2679"/>
      <c r="Z17" s="1452"/>
      <c r="AA17" s="1781"/>
      <c r="AB17" s="1973"/>
      <c r="AC17" s="1972"/>
      <c r="AD17" s="1781"/>
      <c r="AE17" s="2663"/>
      <c r="AF17" s="2674"/>
      <c r="AG17" s="2678"/>
      <c r="AH17" s="1449"/>
      <c r="AI17" s="1642"/>
    </row>
    <row r="18" spans="1:35" ht="14.25" customHeight="1">
      <c r="A18" s="2531" t="s">
        <v>1059</v>
      </c>
      <c r="B18" s="1437"/>
      <c r="C18" s="1436"/>
      <c r="D18" s="1359"/>
      <c r="E18" s="1436"/>
      <c r="F18" s="1359"/>
      <c r="G18" s="1436"/>
      <c r="H18" s="1437"/>
      <c r="I18" s="1452"/>
      <c r="J18" s="1359"/>
      <c r="K18" s="1452"/>
      <c r="L18" s="1359"/>
      <c r="M18" s="1452"/>
      <c r="N18" s="1359"/>
      <c r="O18" s="1452"/>
      <c r="P18" s="1781"/>
      <c r="Q18" s="1452"/>
      <c r="R18" s="1781"/>
      <c r="S18" s="1452"/>
      <c r="T18" s="1781"/>
      <c r="U18" s="1452"/>
      <c r="V18" s="1781"/>
      <c r="W18" s="1452"/>
      <c r="X18" s="1781"/>
      <c r="Y18" s="2677"/>
      <c r="Z18" s="1452"/>
      <c r="AA18" s="1455"/>
      <c r="AB18" s="1971"/>
      <c r="AC18" s="1972"/>
      <c r="AD18" s="1455"/>
      <c r="AE18" s="2663"/>
      <c r="AF18" s="2674"/>
      <c r="AG18" s="2675"/>
      <c r="AH18" s="1449"/>
      <c r="AI18" s="1452"/>
    </row>
    <row r="19" spans="1:35" ht="14.25" customHeight="1">
      <c r="A19" s="2225" t="s">
        <v>1012</v>
      </c>
      <c r="B19" s="1359">
        <f>$AA19</f>
        <v>895.4</v>
      </c>
      <c r="C19" s="1414"/>
      <c r="D19" s="1359"/>
      <c r="E19" s="1414"/>
      <c r="F19" s="1359"/>
      <c r="G19" s="1436"/>
      <c r="H19" s="1359"/>
      <c r="I19" s="2596"/>
      <c r="J19" s="1359"/>
      <c r="K19" s="2596"/>
      <c r="L19" s="1359"/>
      <c r="M19" s="2596"/>
      <c r="N19" s="1359"/>
      <c r="O19" s="2596"/>
      <c r="P19" s="1781"/>
      <c r="Q19" s="2596"/>
      <c r="R19" s="1781"/>
      <c r="S19" s="2596"/>
      <c r="T19" s="1781"/>
      <c r="U19" s="2596"/>
      <c r="V19" s="1781"/>
      <c r="W19" s="2596"/>
      <c r="X19" s="1781"/>
      <c r="Y19" s="2677"/>
      <c r="Z19" s="1452"/>
      <c r="AA19" s="1781">
        <v>895.4</v>
      </c>
      <c r="AB19" s="1971"/>
      <c r="AC19" s="1972"/>
      <c r="AD19" s="1781">
        <v>394.2</v>
      </c>
      <c r="AE19" s="2663"/>
      <c r="AF19" s="2674"/>
      <c r="AG19" s="2678">
        <f>ROUND(SUM(AA19-AD19),1)</f>
        <v>501.2</v>
      </c>
      <c r="AH19" s="1449"/>
      <c r="AI19" s="1419">
        <f>ROUND(IF(AD19=0,0,AG19/ABS(AD19)),3)</f>
        <v>1.2709999999999999</v>
      </c>
    </row>
    <row r="20" spans="1:35" ht="14.25" customHeight="1">
      <c r="A20" s="2464" t="s">
        <v>1011</v>
      </c>
      <c r="B20" s="1453">
        <f>ROUND(SUM(B19:B19),1)</f>
        <v>895.4</v>
      </c>
      <c r="C20" s="1454"/>
      <c r="D20" s="1453">
        <f>ROUND(SUM(D19:D19),1)</f>
        <v>0</v>
      </c>
      <c r="E20" s="1454"/>
      <c r="F20" s="1453">
        <f>ROUND(SUM(F19:F19),1)</f>
        <v>0</v>
      </c>
      <c r="G20" s="1454"/>
      <c r="H20" s="1453">
        <f>ROUND(SUM(H19:H19),1)</f>
        <v>0</v>
      </c>
      <c r="I20" s="1452"/>
      <c r="J20" s="1453">
        <f>ROUND(SUM(J19:J19),1)</f>
        <v>0</v>
      </c>
      <c r="K20" s="1452"/>
      <c r="L20" s="1453">
        <f>ROUND(SUM(L19:L19),1)</f>
        <v>0</v>
      </c>
      <c r="M20" s="1452"/>
      <c r="N20" s="1453">
        <f>ROUND(SUM(N19:N19),1)</f>
        <v>0</v>
      </c>
      <c r="O20" s="1452"/>
      <c r="P20" s="1453">
        <f>ROUND(SUM(P19:P19),1)</f>
        <v>0</v>
      </c>
      <c r="Q20" s="1452"/>
      <c r="R20" s="1453">
        <f>ROUND(SUM(R19:R19),1)</f>
        <v>0</v>
      </c>
      <c r="S20" s="1452"/>
      <c r="T20" s="1453">
        <f>ROUND(SUM(T19:T19),1)</f>
        <v>0</v>
      </c>
      <c r="U20" s="1452"/>
      <c r="V20" s="1453">
        <f>ROUND(SUM(V19:V19),1)</f>
        <v>0</v>
      </c>
      <c r="W20" s="1452"/>
      <c r="X20" s="1453">
        <f>ROUND(SUM(X19:X19),1)</f>
        <v>0</v>
      </c>
      <c r="Y20" s="2677"/>
      <c r="Z20" s="1452"/>
      <c r="AA20" s="1453">
        <f>ROUND(SUM(AA19:AA19),1)</f>
        <v>895.4</v>
      </c>
      <c r="AB20" s="1971"/>
      <c r="AC20" s="1972"/>
      <c r="AD20" s="1453">
        <f>ROUND(SUM(AD19:AD19),1)</f>
        <v>394.2</v>
      </c>
      <c r="AE20" s="2663"/>
      <c r="AF20" s="2674"/>
      <c r="AG20" s="2680">
        <f>ROUND(SUM(AA20-AD20),1)</f>
        <v>501.2</v>
      </c>
      <c r="AH20" s="2647"/>
      <c r="AI20" s="1435">
        <f>ROUND(IF(AD20=0,0,AG20/ABS(AD20)),3)</f>
        <v>1.2709999999999999</v>
      </c>
    </row>
    <row r="21" spans="1:35" ht="14.25" customHeight="1">
      <c r="A21" s="2454" t="s">
        <v>1061</v>
      </c>
      <c r="B21" s="1437"/>
      <c r="C21" s="1454"/>
      <c r="D21" s="1437"/>
      <c r="E21" s="1454"/>
      <c r="F21" s="1437"/>
      <c r="G21" s="1454"/>
      <c r="H21" s="1437"/>
      <c r="I21" s="1452"/>
      <c r="J21" s="1437"/>
      <c r="K21" s="1452"/>
      <c r="L21" s="1437"/>
      <c r="M21" s="1452"/>
      <c r="N21" s="1437"/>
      <c r="O21" s="1452"/>
      <c r="P21" s="1437"/>
      <c r="Q21" s="1452"/>
      <c r="R21" s="1437"/>
      <c r="S21" s="1452"/>
      <c r="T21" s="1437"/>
      <c r="U21" s="1452"/>
      <c r="V21" s="1437"/>
      <c r="W21" s="1452"/>
      <c r="X21" s="1437"/>
      <c r="Y21" s="2677"/>
      <c r="Z21" s="1452"/>
      <c r="AA21" s="1455"/>
      <c r="AB21" s="1971"/>
      <c r="AC21" s="1972"/>
      <c r="AD21" s="1455"/>
      <c r="AE21" s="2663"/>
      <c r="AF21" s="2674"/>
      <c r="AG21" s="2675"/>
      <c r="AH21" s="1449"/>
      <c r="AI21" s="1452"/>
    </row>
    <row r="22" spans="1:35" ht="14.25" customHeight="1">
      <c r="A22" s="2225" t="s">
        <v>1029</v>
      </c>
      <c r="B22" s="1359">
        <f t="shared" ref="B22:B23" si="0">$AA22</f>
        <v>97.4</v>
      </c>
      <c r="C22" s="1414"/>
      <c r="D22" s="1359"/>
      <c r="E22" s="1414"/>
      <c r="F22" s="1359"/>
      <c r="G22" s="1454"/>
      <c r="H22" s="1781"/>
      <c r="I22" s="2596"/>
      <c r="J22" s="1359"/>
      <c r="K22" s="2596"/>
      <c r="L22" s="1359"/>
      <c r="M22" s="2596"/>
      <c r="N22" s="1781"/>
      <c r="O22" s="2596"/>
      <c r="P22" s="1781"/>
      <c r="Q22" s="2596"/>
      <c r="R22" s="1781"/>
      <c r="S22" s="2596"/>
      <c r="T22" s="1781"/>
      <c r="U22" s="2596"/>
      <c r="V22" s="1781"/>
      <c r="W22" s="2596"/>
      <c r="X22" s="1781"/>
      <c r="Y22" s="2677"/>
      <c r="Z22" s="1452"/>
      <c r="AA22" s="1781">
        <v>97.4</v>
      </c>
      <c r="AB22" s="1971"/>
      <c r="AC22" s="1972"/>
      <c r="AD22" s="1781">
        <v>57.2</v>
      </c>
      <c r="AE22" s="2663"/>
      <c r="AF22" s="2674"/>
      <c r="AG22" s="2678">
        <f>ROUND(SUM(AA22-AD22),1)</f>
        <v>40.200000000000003</v>
      </c>
      <c r="AH22" s="1449"/>
      <c r="AI22" s="1419">
        <f>ROUND(IF(AD22=0,0,AG22/ABS(AD22)),3)</f>
        <v>0.70299999999999996</v>
      </c>
    </row>
    <row r="23" spans="1:35" ht="14.25" customHeight="1">
      <c r="A23" s="2461" t="s">
        <v>1287</v>
      </c>
      <c r="B23" s="1359">
        <f t="shared" si="0"/>
        <v>0.1</v>
      </c>
      <c r="C23" s="1436"/>
      <c r="D23" s="1359"/>
      <c r="E23" s="1436"/>
      <c r="F23" s="1359"/>
      <c r="G23" s="1436"/>
      <c r="H23" s="1781"/>
      <c r="I23" s="2694"/>
      <c r="J23" s="1359"/>
      <c r="K23" s="2694"/>
      <c r="L23" s="1359"/>
      <c r="M23" s="2694"/>
      <c r="N23" s="1781"/>
      <c r="O23" s="2694"/>
      <c r="P23" s="1781"/>
      <c r="Q23" s="2694"/>
      <c r="R23" s="1781"/>
      <c r="S23" s="2694"/>
      <c r="T23" s="1781"/>
      <c r="U23" s="2694"/>
      <c r="V23" s="1781"/>
      <c r="W23" s="2694"/>
      <c r="X23" s="1781"/>
      <c r="Y23" s="3538"/>
      <c r="Z23" s="2694"/>
      <c r="AA23" s="1781">
        <v>0.1</v>
      </c>
      <c r="AB23" s="3539"/>
      <c r="AC23" s="3540"/>
      <c r="AD23" s="1781">
        <v>0.1</v>
      </c>
      <c r="AE23" s="3541"/>
      <c r="AF23" s="3542"/>
      <c r="AG23" s="2678">
        <f>ROUND(SUM(AA23-AD23),1)</f>
        <v>0</v>
      </c>
      <c r="AH23" s="1449"/>
      <c r="AI23" s="1642">
        <f>ROUND(IF(AD23=0,1,AG23/ABS(AD23)),3)</f>
        <v>0</v>
      </c>
    </row>
    <row r="24" spans="1:35" ht="14.25" customHeight="1">
      <c r="A24" s="2464" t="s">
        <v>1024</v>
      </c>
      <c r="B24" s="1974">
        <f>ROUND(SUM(B22:B23),1)</f>
        <v>97.5</v>
      </c>
      <c r="C24" s="1454"/>
      <c r="D24" s="2034">
        <f>ROUND(SUM(D22:D23),1)</f>
        <v>0</v>
      </c>
      <c r="E24" s="1454"/>
      <c r="F24" s="2034">
        <f>ROUND(SUM(F22:F23),1)</f>
        <v>0</v>
      </c>
      <c r="G24" s="1454"/>
      <c r="H24" s="2034">
        <f>ROUND(SUM(H22:H23),1)</f>
        <v>0</v>
      </c>
      <c r="I24" s="1452"/>
      <c r="J24" s="2034">
        <f>ROUND(SUM(J22:J23),1)</f>
        <v>0</v>
      </c>
      <c r="K24" s="1452"/>
      <c r="L24" s="2034">
        <f>ROUND(SUM(L22:L23),1)</f>
        <v>0</v>
      </c>
      <c r="M24" s="1452"/>
      <c r="N24" s="2034">
        <f>ROUND(SUM(N22:N23),1)</f>
        <v>0</v>
      </c>
      <c r="O24" s="1452"/>
      <c r="P24" s="2034">
        <f>ROUND(SUM(P22:P23),1)</f>
        <v>0</v>
      </c>
      <c r="Q24" s="1452"/>
      <c r="R24" s="2034">
        <f>ROUND(SUM(R22:R23),1)</f>
        <v>0</v>
      </c>
      <c r="S24" s="1452"/>
      <c r="T24" s="2034">
        <f>ROUND(SUM(T22:T23),1)</f>
        <v>0</v>
      </c>
      <c r="U24" s="1452"/>
      <c r="V24" s="2034">
        <f>ROUND(SUM(V22:V23),1)</f>
        <v>0</v>
      </c>
      <c r="W24" s="1452"/>
      <c r="X24" s="2034">
        <f>ROUND(SUM(X22:X23),1)</f>
        <v>0</v>
      </c>
      <c r="Y24" s="2677"/>
      <c r="Z24" s="1452"/>
      <c r="AA24" s="1453">
        <f>SUM(AA22:AA23)</f>
        <v>97.5</v>
      </c>
      <c r="AB24" s="1971"/>
      <c r="AC24" s="1972"/>
      <c r="AD24" s="1453">
        <f>SUM(AD22:AD23)</f>
        <v>57.300000000000004</v>
      </c>
      <c r="AE24" s="2663"/>
      <c r="AF24" s="2674"/>
      <c r="AG24" s="2681">
        <f>ROUND(SUM(AA24-AD24),1)</f>
        <v>40.200000000000003</v>
      </c>
      <c r="AH24" s="2647"/>
      <c r="AI24" s="1448">
        <f>ROUND(IF(AD24=0,0,AG24/ABS(AD24)),3)</f>
        <v>0.70199999999999996</v>
      </c>
    </row>
    <row r="25" spans="1:35" ht="14.25" customHeight="1">
      <c r="A25" s="2464"/>
      <c r="B25" s="1974"/>
      <c r="C25" s="1454"/>
      <c r="D25" s="1437"/>
      <c r="E25" s="1454"/>
      <c r="F25" s="1437"/>
      <c r="G25" s="1437"/>
      <c r="H25" s="1437"/>
      <c r="I25" s="1449"/>
      <c r="J25" s="1437"/>
      <c r="K25" s="1449"/>
      <c r="L25" s="1437"/>
      <c r="M25" s="1449"/>
      <c r="N25" s="1437"/>
      <c r="O25" s="1449"/>
      <c r="P25" s="1437"/>
      <c r="Q25" s="1449"/>
      <c r="R25" s="1437"/>
      <c r="S25" s="1449"/>
      <c r="T25" s="1437"/>
      <c r="U25" s="1449"/>
      <c r="V25" s="1437"/>
      <c r="W25" s="1449"/>
      <c r="X25" s="1437"/>
      <c r="Y25" s="2677"/>
      <c r="Z25" s="1452"/>
      <c r="AA25" s="1974"/>
      <c r="AB25" s="1971"/>
      <c r="AC25" s="1972"/>
      <c r="AD25" s="3456"/>
      <c r="AE25" s="2663"/>
      <c r="AF25" s="2674"/>
      <c r="AG25" s="2675"/>
      <c r="AH25" s="1449"/>
      <c r="AI25" s="1449"/>
    </row>
    <row r="26" spans="1:35" ht="14.25" customHeight="1">
      <c r="A26" s="2464" t="s">
        <v>1025</v>
      </c>
      <c r="B26" s="2473">
        <f>ROUND(SUM(B16+B20+B24),1)</f>
        <v>4255.8</v>
      </c>
      <c r="C26" s="1436"/>
      <c r="D26" s="2473">
        <f>ROUND(SUM(D16+D20+D24),1)</f>
        <v>0</v>
      </c>
      <c r="E26" s="1436"/>
      <c r="F26" s="2473">
        <f>ROUND(SUM(F16+F20+F24),1)</f>
        <v>0</v>
      </c>
      <c r="G26" s="1436"/>
      <c r="H26" s="2473">
        <f>ROUND(SUM(H16+H20+H24),1)</f>
        <v>0</v>
      </c>
      <c r="I26" s="1452"/>
      <c r="J26" s="1975">
        <f>ROUND(SUM(J16+J20+J24),1)</f>
        <v>0</v>
      </c>
      <c r="K26" s="1452"/>
      <c r="L26" s="1975">
        <f>ROUND(SUM(L16+L20+L24),1)</f>
        <v>0</v>
      </c>
      <c r="M26" s="1452"/>
      <c r="N26" s="1975">
        <f>ROUND(SUM(N16+N20+N24),1)</f>
        <v>0</v>
      </c>
      <c r="O26" s="1452"/>
      <c r="P26" s="1975">
        <f>ROUND(SUM(P16+P20+P24),1)</f>
        <v>0</v>
      </c>
      <c r="Q26" s="1452"/>
      <c r="R26" s="1975">
        <f>ROUND(SUM(R16+R20+R24),1)</f>
        <v>0</v>
      </c>
      <c r="S26" s="1452"/>
      <c r="T26" s="1975">
        <f>ROUND(SUM(T16+T20+T24),1)</f>
        <v>0</v>
      </c>
      <c r="U26" s="1452"/>
      <c r="V26" s="1975">
        <f>ROUND(SUM(V16+V20+V24),1)</f>
        <v>0</v>
      </c>
      <c r="W26" s="1452"/>
      <c r="X26" s="1975">
        <f>ROUND(SUM(X16+X20+X24),1)</f>
        <v>0</v>
      </c>
      <c r="Y26" s="2677"/>
      <c r="Z26" s="1452"/>
      <c r="AA26" s="1975">
        <f>ROUND(SUM(AA16+AA20+AA24),1)</f>
        <v>4255.8</v>
      </c>
      <c r="AB26" s="1971"/>
      <c r="AC26" s="1972"/>
      <c r="AD26" s="1975">
        <f>ROUND(SUM(AD16+AD20+AD24),1)</f>
        <v>1484.6</v>
      </c>
      <c r="AE26" s="2663"/>
      <c r="AF26" s="2674"/>
      <c r="AG26" s="1975">
        <f>ROUND(SUM(AG16+AG20+AG24),1)</f>
        <v>2771.2</v>
      </c>
      <c r="AH26" s="2647"/>
      <c r="AI26" s="1450">
        <f>ROUND(IF(AD26=0,0,AG26/ABS(AD26)),3)</f>
        <v>1.867</v>
      </c>
    </row>
    <row r="27" spans="1:35" ht="14.25" customHeight="1">
      <c r="A27" s="2453"/>
      <c r="B27" s="1436"/>
      <c r="C27" s="1436"/>
      <c r="D27" s="1436"/>
      <c r="E27" s="1436"/>
      <c r="F27" s="1436"/>
      <c r="G27" s="1436"/>
      <c r="H27" s="1436"/>
      <c r="I27" s="1452"/>
      <c r="J27" s="1998"/>
      <c r="K27" s="1452"/>
      <c r="L27" s="1998"/>
      <c r="M27" s="1452"/>
      <c r="N27" s="1998"/>
      <c r="O27" s="1452"/>
      <c r="P27" s="1998"/>
      <c r="Q27" s="1452"/>
      <c r="R27" s="1998"/>
      <c r="S27" s="1452"/>
      <c r="T27" s="1998"/>
      <c r="U27" s="1452"/>
      <c r="V27" s="1998"/>
      <c r="W27" s="1452"/>
      <c r="X27" s="1998"/>
      <c r="Y27" s="2677"/>
      <c r="Z27" s="1452"/>
      <c r="AA27" s="1436"/>
      <c r="AB27" s="1971"/>
      <c r="AC27" s="1972"/>
      <c r="AD27" s="1992"/>
      <c r="AE27" s="2663"/>
      <c r="AF27" s="2674"/>
      <c r="AG27" s="2675"/>
      <c r="AH27" s="1449"/>
      <c r="AI27" s="1452"/>
    </row>
    <row r="28" spans="1:35" ht="14.25" customHeight="1">
      <c r="A28" s="2453" t="s">
        <v>933</v>
      </c>
      <c r="B28" s="1976"/>
      <c r="C28" s="1990"/>
      <c r="D28" s="1990"/>
      <c r="E28" s="1990"/>
      <c r="F28" s="1990"/>
      <c r="G28" s="1990"/>
      <c r="H28" s="1990"/>
      <c r="I28" s="1970"/>
      <c r="J28" s="1970"/>
      <c r="K28" s="1970"/>
      <c r="L28" s="1970"/>
      <c r="M28" s="1970"/>
      <c r="N28" s="1970"/>
      <c r="O28" s="1970"/>
      <c r="P28" s="1970"/>
      <c r="Q28" s="1970"/>
      <c r="R28" s="1970"/>
      <c r="S28" s="1970"/>
      <c r="T28" s="1970"/>
      <c r="U28" s="1970"/>
      <c r="V28" s="1970"/>
      <c r="W28" s="1970"/>
      <c r="X28" s="1970"/>
      <c r="Y28" s="1977"/>
      <c r="Z28" s="1970"/>
      <c r="AA28" s="1976"/>
      <c r="AB28" s="1977"/>
      <c r="AC28" s="1970"/>
      <c r="AD28" s="1976"/>
      <c r="AE28" s="2682"/>
      <c r="AF28" s="2683"/>
      <c r="AG28" s="2678"/>
      <c r="AH28" s="1449"/>
      <c r="AI28" s="1451"/>
    </row>
    <row r="29" spans="1:35" ht="14.25" customHeight="1">
      <c r="A29" s="2476" t="s">
        <v>1053</v>
      </c>
      <c r="B29" s="1976"/>
      <c r="C29" s="1990"/>
      <c r="D29" s="1990"/>
      <c r="E29" s="1990"/>
      <c r="F29" s="1990"/>
      <c r="G29" s="1990"/>
      <c r="H29" s="1990"/>
      <c r="I29" s="1970"/>
      <c r="J29" s="1970"/>
      <c r="K29" s="1970"/>
      <c r="L29" s="1970"/>
      <c r="M29" s="1970"/>
      <c r="N29" s="1970"/>
      <c r="O29" s="1970"/>
      <c r="P29" s="1970"/>
      <c r="Q29" s="1970"/>
      <c r="R29" s="1970"/>
      <c r="S29" s="1970"/>
      <c r="T29" s="1970"/>
      <c r="U29" s="1970"/>
      <c r="V29" s="1970"/>
      <c r="W29" s="1970"/>
      <c r="X29" s="1970"/>
      <c r="Y29" s="1978"/>
      <c r="Z29" s="1970"/>
      <c r="AA29" s="1976"/>
      <c r="AB29" s="1978"/>
      <c r="AC29" s="1970"/>
      <c r="AD29" s="1976"/>
      <c r="AE29" s="2682"/>
      <c r="AF29" s="2683"/>
      <c r="AG29" s="2678"/>
      <c r="AH29" s="1449"/>
      <c r="AI29" s="1451"/>
    </row>
    <row r="30" spans="1:35" ht="14.25" customHeight="1">
      <c r="A30" s="2476" t="s">
        <v>937</v>
      </c>
      <c r="B30" s="1359">
        <f>$AA30</f>
        <v>0</v>
      </c>
      <c r="C30" s="1990"/>
      <c r="D30" s="1359"/>
      <c r="E30" s="1990"/>
      <c r="F30" s="1359"/>
      <c r="G30" s="1990"/>
      <c r="H30" s="1359"/>
      <c r="I30" s="2596"/>
      <c r="J30" s="1359"/>
      <c r="K30" s="2596"/>
      <c r="L30" s="1359"/>
      <c r="M30" s="2596"/>
      <c r="N30" s="1359"/>
      <c r="O30" s="2596"/>
      <c r="P30" s="1781"/>
      <c r="Q30" s="2596"/>
      <c r="R30" s="1781"/>
      <c r="S30" s="2596"/>
      <c r="T30" s="1781"/>
      <c r="U30" s="2596"/>
      <c r="V30" s="1781"/>
      <c r="W30" s="2596"/>
      <c r="X30" s="1781"/>
      <c r="Y30" s="2677"/>
      <c r="Z30" s="1452"/>
      <c r="AA30" s="1781">
        <v>0</v>
      </c>
      <c r="AB30" s="1971"/>
      <c r="AC30" s="1972"/>
      <c r="AD30" s="1781">
        <v>0</v>
      </c>
      <c r="AE30" s="2682"/>
      <c r="AF30" s="2683"/>
      <c r="AG30" s="2678">
        <f>ROUND(SUM(AA30-AD30),1)</f>
        <v>0</v>
      </c>
      <c r="AH30" s="1449"/>
      <c r="AI30" s="1419">
        <f>ROUND(IF(AD30=0,0,AG30/ABS(AD30)),3)</f>
        <v>0</v>
      </c>
    </row>
    <row r="31" spans="1:35" ht="14.25" customHeight="1">
      <c r="A31" s="2476" t="s">
        <v>1058</v>
      </c>
      <c r="B31" s="1359" t="s">
        <v>14</v>
      </c>
      <c r="C31" s="1990"/>
      <c r="D31" s="1359"/>
      <c r="E31" s="1990"/>
      <c r="F31" s="1359"/>
      <c r="G31" s="1990"/>
      <c r="H31" s="1359"/>
      <c r="I31" s="2596"/>
      <c r="J31" s="1359"/>
      <c r="K31" s="2596"/>
      <c r="L31" s="1359"/>
      <c r="M31" s="2596"/>
      <c r="N31" s="1359"/>
      <c r="O31" s="2596"/>
      <c r="P31" s="1781"/>
      <c r="Q31" s="2596"/>
      <c r="R31" s="1781"/>
      <c r="S31" s="2596"/>
      <c r="T31" s="1781"/>
      <c r="U31" s="2596"/>
      <c r="V31" s="1781"/>
      <c r="W31" s="2596"/>
      <c r="X31" s="1781"/>
      <c r="Y31" s="2677"/>
      <c r="Z31" s="1452"/>
      <c r="AA31" s="1781"/>
      <c r="AB31" s="1971"/>
      <c r="AC31" s="1972"/>
      <c r="AD31" s="1781"/>
      <c r="AE31" s="2682"/>
      <c r="AF31" s="2683"/>
      <c r="AG31" s="2678"/>
      <c r="AH31" s="1449"/>
      <c r="AI31" s="1451"/>
    </row>
    <row r="32" spans="1:35" ht="14.25" customHeight="1">
      <c r="A32" s="2476" t="s">
        <v>940</v>
      </c>
      <c r="B32" s="1359">
        <f t="shared" ref="B32:B38" si="1">$AA32</f>
        <v>0</v>
      </c>
      <c r="C32" s="1990"/>
      <c r="D32" s="1359"/>
      <c r="E32" s="1990"/>
      <c r="F32" s="1359"/>
      <c r="G32" s="1990"/>
      <c r="H32" s="1359"/>
      <c r="I32" s="2596"/>
      <c r="J32" s="1359"/>
      <c r="K32" s="2596"/>
      <c r="L32" s="1359"/>
      <c r="M32" s="2596"/>
      <c r="N32" s="1359"/>
      <c r="O32" s="2596"/>
      <c r="P32" s="1781"/>
      <c r="Q32" s="2596"/>
      <c r="R32" s="1781"/>
      <c r="S32" s="2596"/>
      <c r="T32" s="1781"/>
      <c r="U32" s="2596"/>
      <c r="V32" s="1781"/>
      <c r="W32" s="2596"/>
      <c r="X32" s="1781"/>
      <c r="Y32" s="2677"/>
      <c r="Z32" s="1452"/>
      <c r="AA32" s="1781">
        <v>0</v>
      </c>
      <c r="AB32" s="1971"/>
      <c r="AC32" s="1972"/>
      <c r="AD32" s="1781">
        <v>0</v>
      </c>
      <c r="AE32" s="2682"/>
      <c r="AF32" s="2683"/>
      <c r="AG32" s="2678">
        <f t="shared" ref="AG32:AG42" si="2">ROUND(SUM(AA32-AD32),1)</f>
        <v>0</v>
      </c>
      <c r="AH32" s="1449"/>
      <c r="AI32" s="1419">
        <f t="shared" ref="AI32:AI42" si="3">ROUND(IF(AD32=0,0,AG32/ABS(AD32)),3)</f>
        <v>0</v>
      </c>
    </row>
    <row r="33" spans="1:36" ht="14.25" customHeight="1">
      <c r="A33" s="2476" t="s">
        <v>941</v>
      </c>
      <c r="B33" s="1359">
        <f t="shared" si="1"/>
        <v>0</v>
      </c>
      <c r="C33" s="1990"/>
      <c r="D33" s="1359"/>
      <c r="E33" s="1990"/>
      <c r="F33" s="1359"/>
      <c r="G33" s="1990"/>
      <c r="H33" s="1359"/>
      <c r="I33" s="2596"/>
      <c r="J33" s="1359"/>
      <c r="K33" s="2596"/>
      <c r="L33" s="1359"/>
      <c r="M33" s="2596"/>
      <c r="N33" s="1359"/>
      <c r="O33" s="2596"/>
      <c r="P33" s="1781"/>
      <c r="Q33" s="2596"/>
      <c r="R33" s="1781"/>
      <c r="S33" s="2596"/>
      <c r="T33" s="1781"/>
      <c r="U33" s="2596"/>
      <c r="V33" s="1781"/>
      <c r="W33" s="2596"/>
      <c r="X33" s="1781"/>
      <c r="Y33" s="2677"/>
      <c r="Z33" s="1452"/>
      <c r="AA33" s="1781">
        <v>0</v>
      </c>
      <c r="AB33" s="1971"/>
      <c r="AC33" s="1972"/>
      <c r="AD33" s="1781">
        <v>0</v>
      </c>
      <c r="AE33" s="2682"/>
      <c r="AF33" s="2683"/>
      <c r="AG33" s="2678">
        <f t="shared" si="2"/>
        <v>0</v>
      </c>
      <c r="AH33" s="1449"/>
      <c r="AI33" s="1419">
        <f t="shared" si="3"/>
        <v>0</v>
      </c>
    </row>
    <row r="34" spans="1:36" ht="14.25" customHeight="1">
      <c r="A34" s="2476" t="s">
        <v>942</v>
      </c>
      <c r="B34" s="1359">
        <f t="shared" si="1"/>
        <v>0</v>
      </c>
      <c r="C34" s="1990"/>
      <c r="D34" s="1359"/>
      <c r="E34" s="1990"/>
      <c r="F34" s="1359"/>
      <c r="G34" s="1990"/>
      <c r="H34" s="1359"/>
      <c r="I34" s="2596"/>
      <c r="J34" s="1359"/>
      <c r="K34" s="2596"/>
      <c r="L34" s="1359"/>
      <c r="M34" s="2596"/>
      <c r="N34" s="1359"/>
      <c r="O34" s="2596"/>
      <c r="P34" s="1781"/>
      <c r="Q34" s="2596"/>
      <c r="R34" s="1781"/>
      <c r="S34" s="2596"/>
      <c r="T34" s="1781"/>
      <c r="U34" s="2596"/>
      <c r="V34" s="1781"/>
      <c r="W34" s="2596"/>
      <c r="X34" s="1781"/>
      <c r="Y34" s="2677"/>
      <c r="Z34" s="1452"/>
      <c r="AA34" s="1781">
        <v>0</v>
      </c>
      <c r="AB34" s="1971"/>
      <c r="AC34" s="1972"/>
      <c r="AD34" s="1781">
        <v>0</v>
      </c>
      <c r="AE34" s="2682"/>
      <c r="AF34" s="2683"/>
      <c r="AG34" s="2678">
        <f t="shared" si="2"/>
        <v>0</v>
      </c>
      <c r="AH34" s="1449"/>
      <c r="AI34" s="1419">
        <f t="shared" si="3"/>
        <v>0</v>
      </c>
    </row>
    <row r="35" spans="1:36" ht="14.25" customHeight="1">
      <c r="A35" s="2476" t="s">
        <v>943</v>
      </c>
      <c r="B35" s="1359">
        <f t="shared" si="1"/>
        <v>0</v>
      </c>
      <c r="C35" s="1990"/>
      <c r="D35" s="1359"/>
      <c r="E35" s="1990"/>
      <c r="F35" s="1359"/>
      <c r="G35" s="1990"/>
      <c r="H35" s="1359"/>
      <c r="I35" s="2596"/>
      <c r="J35" s="1359"/>
      <c r="K35" s="2596"/>
      <c r="L35" s="1359"/>
      <c r="M35" s="2596"/>
      <c r="N35" s="1359"/>
      <c r="O35" s="2596"/>
      <c r="P35" s="1781"/>
      <c r="Q35" s="2596"/>
      <c r="R35" s="1781"/>
      <c r="S35" s="2596"/>
      <c r="T35" s="1781"/>
      <c r="U35" s="2596"/>
      <c r="V35" s="1781"/>
      <c r="W35" s="2596"/>
      <c r="X35" s="1781"/>
      <c r="Y35" s="2677"/>
      <c r="Z35" s="1452"/>
      <c r="AA35" s="1781">
        <v>0</v>
      </c>
      <c r="AB35" s="1971"/>
      <c r="AC35" s="1972"/>
      <c r="AD35" s="1781">
        <v>0</v>
      </c>
      <c r="AE35" s="2682"/>
      <c r="AF35" s="2683"/>
      <c r="AG35" s="2678">
        <f t="shared" si="2"/>
        <v>0</v>
      </c>
      <c r="AH35" s="1449"/>
      <c r="AI35" s="1419">
        <f t="shared" si="3"/>
        <v>0</v>
      </c>
    </row>
    <row r="36" spans="1:36" ht="14.25" customHeight="1">
      <c r="A36" s="2476" t="s">
        <v>944</v>
      </c>
      <c r="B36" s="1359">
        <f t="shared" si="1"/>
        <v>0</v>
      </c>
      <c r="C36" s="1990"/>
      <c r="D36" s="1359"/>
      <c r="E36" s="1990"/>
      <c r="F36" s="1359"/>
      <c r="G36" s="1990"/>
      <c r="H36" s="1359"/>
      <c r="I36" s="2596"/>
      <c r="J36" s="1359"/>
      <c r="K36" s="2596"/>
      <c r="L36" s="1359"/>
      <c r="M36" s="2596"/>
      <c r="N36" s="1359"/>
      <c r="O36" s="2596"/>
      <c r="P36" s="1781"/>
      <c r="Q36" s="2596"/>
      <c r="R36" s="1781"/>
      <c r="S36" s="2596"/>
      <c r="T36" s="1781"/>
      <c r="U36" s="2596"/>
      <c r="V36" s="1781"/>
      <c r="W36" s="2596"/>
      <c r="X36" s="1781"/>
      <c r="Y36" s="2677"/>
      <c r="Z36" s="1452"/>
      <c r="AA36" s="1781">
        <v>0</v>
      </c>
      <c r="AB36" s="1971"/>
      <c r="AC36" s="1972"/>
      <c r="AD36" s="1781">
        <v>0</v>
      </c>
      <c r="AE36" s="2682"/>
      <c r="AF36" s="2683"/>
      <c r="AG36" s="2678">
        <f t="shared" si="2"/>
        <v>0</v>
      </c>
      <c r="AH36" s="1449"/>
      <c r="AI36" s="1419">
        <f t="shared" si="3"/>
        <v>0</v>
      </c>
    </row>
    <row r="37" spans="1:36" ht="14.25" customHeight="1">
      <c r="A37" s="2476" t="s">
        <v>945</v>
      </c>
      <c r="B37" s="1359">
        <f t="shared" si="1"/>
        <v>0</v>
      </c>
      <c r="C37" s="1990"/>
      <c r="D37" s="1359"/>
      <c r="E37" s="1990"/>
      <c r="F37" s="1359"/>
      <c r="G37" s="1990"/>
      <c r="H37" s="1359"/>
      <c r="I37" s="2596"/>
      <c r="J37" s="1359"/>
      <c r="K37" s="2596"/>
      <c r="L37" s="1359"/>
      <c r="M37" s="2596"/>
      <c r="N37" s="1359"/>
      <c r="O37" s="2596"/>
      <c r="P37" s="1781"/>
      <c r="Q37" s="2596"/>
      <c r="R37" s="1781"/>
      <c r="S37" s="2596"/>
      <c r="T37" s="1781"/>
      <c r="U37" s="2596"/>
      <c r="V37" s="1781"/>
      <c r="W37" s="2596"/>
      <c r="X37" s="1781"/>
      <c r="Y37" s="2677"/>
      <c r="Z37" s="1452"/>
      <c r="AA37" s="1781">
        <v>0</v>
      </c>
      <c r="AB37" s="1971"/>
      <c r="AC37" s="1972"/>
      <c r="AD37" s="1781">
        <v>0</v>
      </c>
      <c r="AE37" s="2682"/>
      <c r="AF37" s="2683"/>
      <c r="AG37" s="2678">
        <f t="shared" si="2"/>
        <v>0</v>
      </c>
      <c r="AH37" s="1449"/>
      <c r="AI37" s="1419">
        <f t="shared" si="3"/>
        <v>0</v>
      </c>
    </row>
    <row r="38" spans="1:36" ht="14.25" customHeight="1">
      <c r="A38" s="2476" t="s">
        <v>935</v>
      </c>
      <c r="B38" s="1359">
        <f t="shared" si="1"/>
        <v>0</v>
      </c>
      <c r="C38" s="1990"/>
      <c r="D38" s="1359"/>
      <c r="E38" s="1990"/>
      <c r="F38" s="1359"/>
      <c r="G38" s="1990"/>
      <c r="H38" s="1359"/>
      <c r="I38" s="2596"/>
      <c r="J38" s="1359"/>
      <c r="K38" s="2596"/>
      <c r="L38" s="1359"/>
      <c r="M38" s="2596"/>
      <c r="N38" s="1359"/>
      <c r="O38" s="2596"/>
      <c r="P38" s="1781"/>
      <c r="Q38" s="2596"/>
      <c r="R38" s="1781"/>
      <c r="S38" s="2596"/>
      <c r="T38" s="1781"/>
      <c r="U38" s="2596"/>
      <c r="V38" s="1781"/>
      <c r="W38" s="2596"/>
      <c r="X38" s="1781"/>
      <c r="Y38" s="2677"/>
      <c r="Z38" s="1452"/>
      <c r="AA38" s="1781">
        <v>0</v>
      </c>
      <c r="AB38" s="1971"/>
      <c r="AC38" s="1972"/>
      <c r="AD38" s="1781">
        <v>0.1</v>
      </c>
      <c r="AE38" s="2682"/>
      <c r="AF38" s="2683"/>
      <c r="AG38" s="2678">
        <f t="shared" si="2"/>
        <v>-0.1</v>
      </c>
      <c r="AH38" s="1449"/>
      <c r="AI38" s="1419">
        <f>ROUND(IF(AD38=0,1,AG38/ABS(AD38)),3)</f>
        <v>-1</v>
      </c>
    </row>
    <row r="39" spans="1:36" ht="14.25" customHeight="1">
      <c r="A39" s="2476" t="s">
        <v>953</v>
      </c>
      <c r="B39" s="1359">
        <f>$AA39</f>
        <v>0</v>
      </c>
      <c r="C39" s="1990"/>
      <c r="D39" s="1359"/>
      <c r="E39" s="1990"/>
      <c r="F39" s="1359"/>
      <c r="G39" s="1990"/>
      <c r="H39" s="1359"/>
      <c r="I39" s="2596"/>
      <c r="J39" s="1359"/>
      <c r="K39" s="2596"/>
      <c r="L39" s="1359"/>
      <c r="M39" s="2596"/>
      <c r="N39" s="1359"/>
      <c r="O39" s="2596"/>
      <c r="P39" s="1781"/>
      <c r="Q39" s="2596"/>
      <c r="R39" s="1781"/>
      <c r="S39" s="2596"/>
      <c r="T39" s="1781"/>
      <c r="U39" s="2596"/>
      <c r="V39" s="1781"/>
      <c r="W39" s="2596"/>
      <c r="X39" s="1781"/>
      <c r="Y39" s="2677"/>
      <c r="Z39" s="1452"/>
      <c r="AA39" s="1781">
        <v>0</v>
      </c>
      <c r="AB39" s="1971"/>
      <c r="AC39" s="1972"/>
      <c r="AD39" s="1781">
        <v>0</v>
      </c>
      <c r="AE39" s="2682"/>
      <c r="AF39" s="2683"/>
      <c r="AG39" s="2678">
        <f>ROUND(SUM(AA39-AD39),1)</f>
        <v>0</v>
      </c>
      <c r="AH39" s="1449"/>
      <c r="AI39" s="1419">
        <f>ROUND(IF(AD39=0,0,AG39/ABS(AD39)),3)</f>
        <v>0</v>
      </c>
    </row>
    <row r="40" spans="1:36" ht="14.25" customHeight="1">
      <c r="A40" s="2476" t="s">
        <v>1056</v>
      </c>
      <c r="B40" s="1359"/>
      <c r="C40" s="1990"/>
      <c r="D40" s="1359"/>
      <c r="E40" s="1990"/>
      <c r="F40" s="1359"/>
      <c r="G40" s="1990"/>
      <c r="H40" s="1359"/>
      <c r="I40" s="2596"/>
      <c r="J40" s="1359"/>
      <c r="K40" s="2596"/>
      <c r="L40" s="1359"/>
      <c r="M40" s="2596"/>
      <c r="N40" s="1359"/>
      <c r="O40" s="2596"/>
      <c r="P40" s="1781"/>
      <c r="Q40" s="2596"/>
      <c r="R40" s="1781"/>
      <c r="S40" s="2596"/>
      <c r="T40" s="1781"/>
      <c r="U40" s="2596"/>
      <c r="V40" s="1781"/>
      <c r="W40" s="2596"/>
      <c r="X40" s="1781"/>
      <c r="Y40" s="2684"/>
      <c r="Z40" s="1452"/>
      <c r="AA40" s="1781" t="s">
        <v>14</v>
      </c>
      <c r="AB40" s="2150"/>
      <c r="AC40" s="3540" t="s">
        <v>14</v>
      </c>
      <c r="AD40" s="1781" t="s">
        <v>14</v>
      </c>
      <c r="AE40" s="2682"/>
      <c r="AF40" s="3850" t="s">
        <v>14</v>
      </c>
      <c r="AG40" s="3851" t="s">
        <v>14</v>
      </c>
      <c r="AH40" s="1449"/>
      <c r="AI40" s="1419" t="s">
        <v>14</v>
      </c>
    </row>
    <row r="41" spans="1:36" ht="14.25" customHeight="1">
      <c r="A41" s="2476" t="s">
        <v>980</v>
      </c>
      <c r="B41" s="1359">
        <f t="shared" ref="B41:B42" si="4">$AA41</f>
        <v>0</v>
      </c>
      <c r="C41" s="1990"/>
      <c r="D41" s="1359"/>
      <c r="E41" s="1990"/>
      <c r="F41" s="1359"/>
      <c r="G41" s="1990"/>
      <c r="H41" s="1359"/>
      <c r="I41" s="2596"/>
      <c r="J41" s="1359"/>
      <c r="K41" s="2596"/>
      <c r="L41" s="1359"/>
      <c r="M41" s="2596"/>
      <c r="N41" s="1359"/>
      <c r="O41" s="2596"/>
      <c r="P41" s="1781"/>
      <c r="Q41" s="2596"/>
      <c r="R41" s="1781"/>
      <c r="S41" s="2596"/>
      <c r="T41" s="1781"/>
      <c r="U41" s="2596"/>
      <c r="V41" s="1781"/>
      <c r="W41" s="2596"/>
      <c r="X41" s="1781"/>
      <c r="Y41" s="2684"/>
      <c r="Z41" s="1452"/>
      <c r="AA41" s="1781">
        <v>0</v>
      </c>
      <c r="AB41" s="2150"/>
      <c r="AC41" s="1972"/>
      <c r="AD41" s="1781">
        <v>0</v>
      </c>
      <c r="AE41" s="2682"/>
      <c r="AF41" s="2683"/>
      <c r="AG41" s="2678">
        <f>ROUND(SUM(AA41-AD41),1)</f>
        <v>0</v>
      </c>
      <c r="AH41" s="1449"/>
      <c r="AI41" s="1419">
        <f>ROUND(IF(AD41=0,0,AG41/ABS(AD41)),3)</f>
        <v>0</v>
      </c>
    </row>
    <row r="42" spans="1:36" ht="14.25" customHeight="1">
      <c r="A42" s="2476" t="s">
        <v>954</v>
      </c>
      <c r="B42" s="1359">
        <f t="shared" si="4"/>
        <v>0</v>
      </c>
      <c r="C42" s="1990"/>
      <c r="D42" s="1359"/>
      <c r="E42" s="1990"/>
      <c r="F42" s="1359"/>
      <c r="G42" s="1990"/>
      <c r="H42" s="1359"/>
      <c r="I42" s="2596"/>
      <c r="J42" s="1359"/>
      <c r="K42" s="2596"/>
      <c r="L42" s="1359"/>
      <c r="M42" s="2596"/>
      <c r="N42" s="1359"/>
      <c r="O42" s="2596"/>
      <c r="P42" s="1781"/>
      <c r="Q42" s="2596"/>
      <c r="R42" s="1781"/>
      <c r="S42" s="2596"/>
      <c r="T42" s="1781"/>
      <c r="U42" s="2596"/>
      <c r="V42" s="1781"/>
      <c r="W42" s="2596"/>
      <c r="X42" s="1781"/>
      <c r="Y42" s="2677"/>
      <c r="Z42" s="1452"/>
      <c r="AA42" s="1781">
        <v>0</v>
      </c>
      <c r="AB42" s="1971"/>
      <c r="AC42" s="1972"/>
      <c r="AD42" s="1781">
        <v>0</v>
      </c>
      <c r="AE42" s="2682"/>
      <c r="AF42" s="2683"/>
      <c r="AG42" s="2678">
        <f t="shared" si="2"/>
        <v>0</v>
      </c>
      <c r="AH42" s="1449"/>
      <c r="AI42" s="1419">
        <f t="shared" si="3"/>
        <v>0</v>
      </c>
    </row>
    <row r="43" spans="1:36" ht="14.25" customHeight="1">
      <c r="A43" s="2476" t="s">
        <v>1057</v>
      </c>
      <c r="B43" s="1359" t="s">
        <v>14</v>
      </c>
      <c r="C43" s="1990"/>
      <c r="D43" s="1359"/>
      <c r="E43" s="1990"/>
      <c r="F43" s="1359"/>
      <c r="G43" s="1990"/>
      <c r="H43" s="1359"/>
      <c r="I43" s="2596"/>
      <c r="J43" s="1359"/>
      <c r="K43" s="2596"/>
      <c r="L43" s="1359"/>
      <c r="M43" s="2596"/>
      <c r="N43" s="1359"/>
      <c r="O43" s="2596"/>
      <c r="P43" s="1781"/>
      <c r="Q43" s="2596"/>
      <c r="R43" s="1781"/>
      <c r="S43" s="2596"/>
      <c r="T43" s="1781"/>
      <c r="U43" s="2596"/>
      <c r="V43" s="1781"/>
      <c r="W43" s="2596"/>
      <c r="X43" s="1781"/>
      <c r="Y43" s="2677"/>
      <c r="Z43" s="1452"/>
      <c r="AA43" s="1781"/>
      <c r="AB43" s="1971"/>
      <c r="AC43" s="1972"/>
      <c r="AD43" s="1781"/>
      <c r="AE43" s="2682"/>
      <c r="AF43" s="2683"/>
      <c r="AG43" s="2678"/>
      <c r="AH43" s="1449"/>
      <c r="AI43" s="1451"/>
    </row>
    <row r="44" spans="1:36" ht="14.25" customHeight="1">
      <c r="A44" s="2476" t="s">
        <v>1124</v>
      </c>
      <c r="B44" s="1359">
        <f t="shared" ref="B44:B46" si="5">$AA44</f>
        <v>43.2</v>
      </c>
      <c r="C44" s="1990"/>
      <c r="D44" s="1359"/>
      <c r="E44" s="1990"/>
      <c r="F44" s="1359"/>
      <c r="G44" s="1990"/>
      <c r="H44" s="1359"/>
      <c r="I44" s="2596"/>
      <c r="J44" s="1359"/>
      <c r="K44" s="2596"/>
      <c r="L44" s="1359"/>
      <c r="M44" s="2596"/>
      <c r="N44" s="1359"/>
      <c r="O44" s="2596"/>
      <c r="P44" s="1781"/>
      <c r="Q44" s="2596"/>
      <c r="R44" s="1781"/>
      <c r="S44" s="2596"/>
      <c r="T44" s="1781"/>
      <c r="U44" s="2596"/>
      <c r="V44" s="1781"/>
      <c r="W44" s="2596"/>
      <c r="X44" s="1781"/>
      <c r="Y44" s="2677"/>
      <c r="Z44" s="1452"/>
      <c r="AA44" s="1781">
        <v>43.2</v>
      </c>
      <c r="AB44" s="1971"/>
      <c r="AC44" s="1972"/>
      <c r="AD44" s="1781">
        <v>47.2</v>
      </c>
      <c r="AE44" s="2682"/>
      <c r="AF44" s="2683"/>
      <c r="AG44" s="2678">
        <f>ROUND(SUM(AA44-AD44),1)</f>
        <v>-4</v>
      </c>
      <c r="AH44" s="1449"/>
      <c r="AI44" s="1458">
        <f>ROUND(IF(AD44=0,0,AG44/ABS(AD44)),3)</f>
        <v>-8.5000000000000006E-2</v>
      </c>
    </row>
    <row r="45" spans="1:36" ht="14.25" customHeight="1">
      <c r="A45" s="2476" t="s">
        <v>963</v>
      </c>
      <c r="B45" s="1359">
        <f t="shared" si="5"/>
        <v>0</v>
      </c>
      <c r="C45" s="1990"/>
      <c r="D45" s="1359"/>
      <c r="E45" s="1990"/>
      <c r="F45" s="1359"/>
      <c r="G45" s="1990"/>
      <c r="H45" s="1359"/>
      <c r="I45" s="2596"/>
      <c r="J45" s="1359"/>
      <c r="K45" s="2596"/>
      <c r="L45" s="1359"/>
      <c r="M45" s="2596"/>
      <c r="N45" s="1359"/>
      <c r="O45" s="2596"/>
      <c r="P45" s="1781"/>
      <c r="Q45" s="2596"/>
      <c r="R45" s="1781"/>
      <c r="S45" s="2596"/>
      <c r="T45" s="1781"/>
      <c r="U45" s="2596"/>
      <c r="V45" s="1781"/>
      <c r="W45" s="2596"/>
      <c r="X45" s="1781"/>
      <c r="Y45" s="2684"/>
      <c r="Z45" s="1452"/>
      <c r="AA45" s="1781">
        <v>0</v>
      </c>
      <c r="AB45" s="2150"/>
      <c r="AC45" s="1972"/>
      <c r="AD45" s="1781">
        <v>0</v>
      </c>
      <c r="AE45" s="2682"/>
      <c r="AF45" s="2683"/>
      <c r="AG45" s="2678">
        <f>ROUND(SUM(AA45-AD45),1)</f>
        <v>0</v>
      </c>
      <c r="AH45" s="1449"/>
      <c r="AI45" s="1458">
        <f>ROUND(IF(AD45=0,0,AG45/ABS(AD45)),3)</f>
        <v>0</v>
      </c>
    </row>
    <row r="46" spans="1:36" ht="14.25" customHeight="1">
      <c r="A46" s="2476" t="s">
        <v>964</v>
      </c>
      <c r="B46" s="1359">
        <f t="shared" si="5"/>
        <v>0</v>
      </c>
      <c r="C46" s="1990"/>
      <c r="D46" s="1359"/>
      <c r="E46" s="1990"/>
      <c r="F46" s="1359"/>
      <c r="G46" s="1990"/>
      <c r="H46" s="1359"/>
      <c r="I46" s="2596"/>
      <c r="J46" s="1359"/>
      <c r="K46" s="2596"/>
      <c r="L46" s="1359"/>
      <c r="M46" s="2596"/>
      <c r="N46" s="1359"/>
      <c r="O46" s="2596"/>
      <c r="P46" s="1781"/>
      <c r="Q46" s="2596"/>
      <c r="R46" s="1781"/>
      <c r="S46" s="2596"/>
      <c r="T46" s="1781"/>
      <c r="U46" s="2596"/>
      <c r="V46" s="1781"/>
      <c r="W46" s="2596"/>
      <c r="X46" s="1781"/>
      <c r="Y46" s="2677"/>
      <c r="Z46" s="1452"/>
      <c r="AA46" s="1781">
        <v>0</v>
      </c>
      <c r="AB46" s="1971"/>
      <c r="AC46" s="1972"/>
      <c r="AD46" s="1781">
        <v>0</v>
      </c>
      <c r="AE46" s="2682"/>
      <c r="AF46" s="2683"/>
      <c r="AG46" s="2678">
        <f>ROUND(SUM(AA46-AD46),1)</f>
        <v>0</v>
      </c>
      <c r="AH46" s="1449"/>
      <c r="AI46" s="1419">
        <f>ROUND(IF(AD46=0,0,AG46/ABS(AD46)),3)</f>
        <v>0</v>
      </c>
    </row>
    <row r="47" spans="1:36" s="2691" customFormat="1" ht="15.5">
      <c r="A47" s="2464" t="s">
        <v>999</v>
      </c>
      <c r="B47" s="2034">
        <f>ROUND(SUM(B30:B46),1)</f>
        <v>43.2</v>
      </c>
      <c r="C47" s="2685"/>
      <c r="D47" s="2034">
        <f>ROUND(SUM(D30:D46),1)</f>
        <v>0</v>
      </c>
      <c r="E47" s="2685"/>
      <c r="F47" s="2034">
        <f>ROUND(SUM(F30:F46),1)</f>
        <v>0</v>
      </c>
      <c r="G47" s="2685"/>
      <c r="H47" s="2034">
        <f>ROUND(SUM(H30:H46),1)</f>
        <v>0</v>
      </c>
      <c r="I47" s="2686"/>
      <c r="J47" s="2025">
        <f>ROUND(SUM(J30:J46),1)</f>
        <v>0</v>
      </c>
      <c r="K47" s="2686"/>
      <c r="L47" s="2025">
        <f>ROUND(SUM(L30:L46),1)</f>
        <v>0</v>
      </c>
      <c r="M47" s="2686"/>
      <c r="N47" s="2025">
        <f>ROUND(SUM(N30:N46),1)</f>
        <v>0</v>
      </c>
      <c r="O47" s="2686"/>
      <c r="P47" s="2025">
        <f>ROUND(SUM(P30:P46),1)</f>
        <v>0</v>
      </c>
      <c r="Q47" s="2686"/>
      <c r="R47" s="2025">
        <f>ROUND(SUM(R30:R46),1)</f>
        <v>0</v>
      </c>
      <c r="S47" s="2686"/>
      <c r="T47" s="2025">
        <f>ROUND(SUM(T30:T46),1)</f>
        <v>0</v>
      </c>
      <c r="U47" s="2686"/>
      <c r="V47" s="2009">
        <f>ROUND(SUM(V30:V46),1)</f>
        <v>0</v>
      </c>
      <c r="W47" s="2686"/>
      <c r="X47" s="2009">
        <f>ROUND(SUM(X30:X46),1)</f>
        <v>0</v>
      </c>
      <c r="Y47" s="2687"/>
      <c r="Z47" s="2686"/>
      <c r="AA47" s="2009">
        <f>ROUND(SUM(AA30:AA46),1)</f>
        <v>43.2</v>
      </c>
      <c r="AB47" s="2687"/>
      <c r="AC47" s="2686"/>
      <c r="AD47" s="2009">
        <f>ROUND(SUM(AD30:AD46),1)</f>
        <v>47.3</v>
      </c>
      <c r="AE47" s="2688"/>
      <c r="AF47" s="2689"/>
      <c r="AG47" s="2025">
        <f>ROUND(SUM(AG30:AG46),1)</f>
        <v>-4.0999999999999996</v>
      </c>
      <c r="AH47" s="2647"/>
      <c r="AI47" s="2690">
        <f>ROUND(IF(AD47=0,0,AG47/ABS(AD47)),3)</f>
        <v>-8.6999999999999994E-2</v>
      </c>
      <c r="AJ47" s="2643"/>
    </row>
    <row r="48" spans="1:36" s="2691" customFormat="1" ht="14.25" customHeight="1">
      <c r="A48" s="2464"/>
      <c r="B48" s="1437"/>
      <c r="C48" s="2685"/>
      <c r="D48" s="1437"/>
      <c r="E48" s="2685"/>
      <c r="F48" s="1437"/>
      <c r="G48" s="2685"/>
      <c r="H48" s="1437"/>
      <c r="I48" s="2686"/>
      <c r="J48" s="1437"/>
      <c r="K48" s="2686"/>
      <c r="L48" s="1437"/>
      <c r="M48" s="2686"/>
      <c r="N48" s="1437"/>
      <c r="O48" s="2686"/>
      <c r="P48" s="1437"/>
      <c r="Q48" s="2686"/>
      <c r="R48" s="1437"/>
      <c r="S48" s="2686"/>
      <c r="T48" s="1437"/>
      <c r="U48" s="2686"/>
      <c r="V48" s="1455"/>
      <c r="W48" s="2686"/>
      <c r="X48" s="1455"/>
      <c r="Y48" s="2692"/>
      <c r="Z48" s="2686"/>
      <c r="AA48" s="1455"/>
      <c r="AB48" s="2692"/>
      <c r="AC48" s="2686"/>
      <c r="AD48" s="1455"/>
      <c r="AE48" s="2688"/>
      <c r="AF48" s="2689"/>
      <c r="AG48" s="2693"/>
      <c r="AH48" s="2647"/>
      <c r="AI48" s="2671"/>
      <c r="AJ48" s="2643"/>
    </row>
    <row r="49" spans="1:36" ht="15.5">
      <c r="A49" s="2694" t="s">
        <v>851</v>
      </c>
      <c r="B49" s="1359">
        <f t="shared" ref="B49" si="6">$AA49</f>
        <v>0</v>
      </c>
      <c r="C49" s="2695"/>
      <c r="D49" s="1359"/>
      <c r="E49" s="2695"/>
      <c r="F49" s="1359"/>
      <c r="G49" s="1990"/>
      <c r="H49" s="1781"/>
      <c r="I49" s="1970"/>
      <c r="J49" s="1781"/>
      <c r="K49" s="1970"/>
      <c r="L49" s="1359"/>
      <c r="M49" s="1970"/>
      <c r="N49" s="1359"/>
      <c r="O49" s="1970"/>
      <c r="P49" s="1781"/>
      <c r="Q49" s="1970"/>
      <c r="R49" s="1781"/>
      <c r="S49" s="1970"/>
      <c r="T49" s="1781"/>
      <c r="U49" s="1970"/>
      <c r="V49" s="1781"/>
      <c r="W49" s="1970"/>
      <c r="X49" s="1781"/>
      <c r="Y49" s="2696"/>
      <c r="Z49" s="1970"/>
      <c r="AA49" s="2697">
        <v>0</v>
      </c>
      <c r="AB49" s="2696"/>
      <c r="AC49" s="1970"/>
      <c r="AD49" s="2697">
        <v>0</v>
      </c>
      <c r="AE49" s="2682"/>
      <c r="AF49" s="2683"/>
      <c r="AG49" s="2698">
        <f>ROUND(SUM(AA49-AD49),1)</f>
        <v>0</v>
      </c>
      <c r="AH49" s="1449"/>
      <c r="AI49" s="1420">
        <f>ROUND(IF(AD49=0,0,AG49/ABS(AD49)),3)</f>
        <v>0</v>
      </c>
    </row>
    <row r="50" spans="1:36" ht="12" customHeight="1">
      <c r="A50" s="1452"/>
      <c r="B50" s="2699"/>
      <c r="C50" s="1990"/>
      <c r="D50" s="2699"/>
      <c r="E50" s="1990"/>
      <c r="F50" s="2699"/>
      <c r="G50" s="1990"/>
      <c r="H50" s="2699"/>
      <c r="I50" s="1970"/>
      <c r="J50" s="2700"/>
      <c r="K50" s="1970"/>
      <c r="L50" s="2700"/>
      <c r="M50" s="1970"/>
      <c r="N50" s="2700"/>
      <c r="O50" s="1970"/>
      <c r="P50" s="2700"/>
      <c r="Q50" s="1970"/>
      <c r="R50" s="2700"/>
      <c r="S50" s="1970"/>
      <c r="T50" s="2700"/>
      <c r="U50" s="1970"/>
      <c r="V50" s="2700"/>
      <c r="W50" s="1970"/>
      <c r="X50" s="2700"/>
      <c r="Y50" s="2696"/>
      <c r="Z50" s="1970"/>
      <c r="AA50" s="1990"/>
      <c r="AB50" s="2696"/>
      <c r="AC50" s="1970"/>
      <c r="AD50" s="1990"/>
      <c r="AE50" s="2682"/>
      <c r="AF50" s="2683"/>
      <c r="AG50" s="2678"/>
      <c r="AH50" s="1449"/>
      <c r="AI50" s="1452"/>
    </row>
    <row r="51" spans="1:36" ht="14.25" customHeight="1">
      <c r="A51" s="2464" t="s">
        <v>186</v>
      </c>
      <c r="B51" s="2701">
        <f>B26+B47+B49</f>
        <v>4299</v>
      </c>
      <c r="C51" s="2702"/>
      <c r="D51" s="2701">
        <f>ROUND(SUM(D26+D47+D49),1)</f>
        <v>0</v>
      </c>
      <c r="E51" s="2703"/>
      <c r="F51" s="2701">
        <f>ROUND(SUM(F26+F47+F49),1)</f>
        <v>0</v>
      </c>
      <c r="G51" s="2703"/>
      <c r="H51" s="2701">
        <f>ROUND(SUM(H26+H47+H49),1)</f>
        <v>0</v>
      </c>
      <c r="I51" s="2704"/>
      <c r="J51" s="2705">
        <f>ROUND(SUM(J26+J47+J49),1)</f>
        <v>0</v>
      </c>
      <c r="K51" s="2704"/>
      <c r="L51" s="2705">
        <f>ROUND(SUM(L26+L47+L49),1)</f>
        <v>0</v>
      </c>
      <c r="M51" s="2704"/>
      <c r="N51" s="2705">
        <f>ROUND(SUM(N26+N47+N49),1)</f>
        <v>0</v>
      </c>
      <c r="O51" s="2704"/>
      <c r="P51" s="2705">
        <f>ROUND(SUM(P26+P47+P49),1)</f>
        <v>0</v>
      </c>
      <c r="Q51" s="2704"/>
      <c r="R51" s="2705">
        <f>ROUND(SUM(R26+R47+R49),1)</f>
        <v>0</v>
      </c>
      <c r="S51" s="2704"/>
      <c r="T51" s="2705">
        <f>ROUND(SUM(T26+T47+T49),1)</f>
        <v>0</v>
      </c>
      <c r="U51" s="2704"/>
      <c r="V51" s="2705">
        <f>ROUND(SUM(V26+V47+V49),1)</f>
        <v>0</v>
      </c>
      <c r="W51" s="2704"/>
      <c r="X51" s="2705">
        <f>ROUND(SUM(X26+X47+X49),1)</f>
        <v>0</v>
      </c>
      <c r="Y51" s="2687"/>
      <c r="Z51" s="2686"/>
      <c r="AA51" s="2705">
        <f>ROUND(SUM(AA26+AA47+AA49),1)</f>
        <v>4299</v>
      </c>
      <c r="AB51" s="2687"/>
      <c r="AC51" s="2686"/>
      <c r="AD51" s="2705">
        <f>ROUND(SUM(AD26+AD47+AD49),1)</f>
        <v>1531.9</v>
      </c>
      <c r="AE51" s="2688"/>
      <c r="AF51" s="2689"/>
      <c r="AG51" s="2705">
        <f>ROUND(SUM(AG26+AG47+AG49),1)</f>
        <v>2767.1</v>
      </c>
      <c r="AH51" s="2647"/>
      <c r="AI51" s="1450">
        <f>ROUND(IF(AD51=0,0,AG51/ABS(AD51)),3)</f>
        <v>1.806</v>
      </c>
      <c r="AJ51" s="2706"/>
    </row>
    <row r="52" spans="1:36" ht="19.5" customHeight="1">
      <c r="A52" s="1452"/>
      <c r="B52" s="1990"/>
      <c r="C52" s="1990"/>
      <c r="D52" s="1990"/>
      <c r="E52" s="1990"/>
      <c r="F52" s="1990"/>
      <c r="G52" s="1990"/>
      <c r="H52" s="1990"/>
      <c r="I52" s="1970"/>
      <c r="J52" s="1970"/>
      <c r="K52" s="1970"/>
      <c r="L52" s="1970"/>
      <c r="M52" s="1970"/>
      <c r="N52" s="1970"/>
      <c r="O52" s="1970"/>
      <c r="P52" s="1970"/>
      <c r="Q52" s="1970"/>
      <c r="R52" s="1970"/>
      <c r="S52" s="1970"/>
      <c r="T52" s="1970"/>
      <c r="U52" s="1970"/>
      <c r="V52" s="1970"/>
      <c r="W52" s="1970"/>
      <c r="X52" s="1970"/>
      <c r="Y52" s="2696"/>
      <c r="Z52" s="1970"/>
      <c r="AA52" s="1990"/>
      <c r="AB52" s="2696"/>
      <c r="AC52" s="1970"/>
      <c r="AD52" s="1990"/>
      <c r="AE52" s="2682"/>
      <c r="AF52" s="2683"/>
      <c r="AG52" s="2678"/>
      <c r="AH52" s="1449"/>
      <c r="AI52" s="1452"/>
    </row>
    <row r="53" spans="1:36" ht="15.5">
      <c r="A53" s="2707" t="s">
        <v>187</v>
      </c>
      <c r="B53" s="1990"/>
      <c r="C53" s="1990"/>
      <c r="D53" s="1990"/>
      <c r="E53" s="1990"/>
      <c r="F53" s="1990"/>
      <c r="G53" s="1990"/>
      <c r="H53" s="1990"/>
      <c r="I53" s="1970"/>
      <c r="J53" s="1970"/>
      <c r="K53" s="1970"/>
      <c r="L53" s="1970"/>
      <c r="M53" s="1970"/>
      <c r="N53" s="1970"/>
      <c r="O53" s="1970"/>
      <c r="P53" s="1970"/>
      <c r="Q53" s="1970"/>
      <c r="R53" s="1970"/>
      <c r="S53" s="1970"/>
      <c r="T53" s="1970"/>
      <c r="U53" s="1970"/>
      <c r="V53" s="1970"/>
      <c r="W53" s="1970"/>
      <c r="X53" s="1970"/>
      <c r="Y53" s="2696"/>
      <c r="Z53" s="1970"/>
      <c r="AA53" s="1990"/>
      <c r="AB53" s="2696"/>
      <c r="AC53" s="1970"/>
      <c r="AD53" s="1990"/>
      <c r="AE53" s="2682"/>
      <c r="AF53" s="2683"/>
      <c r="AG53" s="2678"/>
      <c r="AH53" s="1449"/>
      <c r="AI53" s="1452"/>
    </row>
    <row r="54" spans="1:36" ht="14.25" customHeight="1">
      <c r="A54" s="2708" t="s">
        <v>151</v>
      </c>
      <c r="B54" s="1990"/>
      <c r="C54" s="1990"/>
      <c r="D54" s="1990"/>
      <c r="E54" s="1990"/>
      <c r="F54" s="1990"/>
      <c r="G54" s="1990"/>
      <c r="H54" s="1990"/>
      <c r="I54" s="1970"/>
      <c r="J54" s="1970"/>
      <c r="K54" s="1970"/>
      <c r="L54" s="1970"/>
      <c r="M54" s="1970"/>
      <c r="N54" s="1970"/>
      <c r="O54" s="1970"/>
      <c r="P54" s="1970"/>
      <c r="Q54" s="1970"/>
      <c r="R54" s="1970"/>
      <c r="S54" s="1970"/>
      <c r="T54" s="1970"/>
      <c r="U54" s="1970"/>
      <c r="V54" s="1970"/>
      <c r="W54" s="1970"/>
      <c r="X54" s="1970"/>
      <c r="Y54" s="2696"/>
      <c r="Z54" s="1970"/>
      <c r="AA54" s="1990"/>
      <c r="AB54" s="2696"/>
      <c r="AC54" s="1970"/>
      <c r="AD54" s="1990"/>
      <c r="AE54" s="2682"/>
      <c r="AF54" s="2683"/>
      <c r="AG54" s="2678"/>
      <c r="AH54" s="1449"/>
      <c r="AI54" s="1452"/>
    </row>
    <row r="55" spans="1:36" ht="14.25" customHeight="1">
      <c r="A55" s="2708" t="s">
        <v>37</v>
      </c>
      <c r="B55" s="1359">
        <f t="shared" ref="B55" si="7">$AA55</f>
        <v>0.2</v>
      </c>
      <c r="C55" s="1990"/>
      <c r="D55" s="1359"/>
      <c r="E55" s="2709"/>
      <c r="F55" s="1359"/>
      <c r="G55" s="1990"/>
      <c r="H55" s="1359"/>
      <c r="I55" s="1970"/>
      <c r="J55" s="1359"/>
      <c r="K55" s="1970"/>
      <c r="L55" s="1359"/>
      <c r="M55" s="1970"/>
      <c r="N55" s="1359"/>
      <c r="O55" s="1970"/>
      <c r="P55" s="1781"/>
      <c r="Q55" s="1970"/>
      <c r="R55" s="1781"/>
      <c r="S55" s="1970"/>
      <c r="T55" s="1781"/>
      <c r="U55" s="1970"/>
      <c r="V55" s="1781"/>
      <c r="W55" s="1970"/>
      <c r="X55" s="1781"/>
      <c r="Y55" s="2696"/>
      <c r="Z55" s="1970"/>
      <c r="AA55" s="1976">
        <v>0.2</v>
      </c>
      <c r="AB55" s="2696"/>
      <c r="AC55" s="1970"/>
      <c r="AD55" s="1976">
        <v>0</v>
      </c>
      <c r="AE55" s="2682"/>
      <c r="AF55" s="2683"/>
      <c r="AG55" s="2678">
        <f>ROUND(SUM(AA55-AD55),1)</f>
        <v>0.2</v>
      </c>
      <c r="AH55" s="1449"/>
      <c r="AI55" s="1458">
        <f>ROUND(IF(AD55=0,1,AG55/ABS(AD55)),3)</f>
        <v>1</v>
      </c>
    </row>
    <row r="56" spans="1:36" ht="14.25" customHeight="1">
      <c r="A56" s="2710" t="s">
        <v>1295</v>
      </c>
      <c r="B56" s="1359" t="s">
        <v>14</v>
      </c>
      <c r="C56" s="1990"/>
      <c r="D56" s="1359"/>
      <c r="E56" s="1990"/>
      <c r="F56" s="1359"/>
      <c r="G56" s="1990"/>
      <c r="H56" s="1359"/>
      <c r="I56" s="1970"/>
      <c r="J56" s="1359"/>
      <c r="K56" s="1970"/>
      <c r="L56" s="1359"/>
      <c r="M56" s="1970"/>
      <c r="N56" s="1359"/>
      <c r="O56" s="1970"/>
      <c r="P56" s="1781"/>
      <c r="Q56" s="1970"/>
      <c r="R56" s="1781"/>
      <c r="S56" s="1970"/>
      <c r="T56" s="1781"/>
      <c r="U56" s="1970"/>
      <c r="V56" s="1781"/>
      <c r="W56" s="1970"/>
      <c r="X56" s="1781"/>
      <c r="Y56" s="2696"/>
      <c r="Z56" s="1970"/>
      <c r="AA56" s="1990"/>
      <c r="AB56" s="2696"/>
      <c r="AC56" s="1970"/>
      <c r="AD56" s="1990"/>
      <c r="AE56" s="2682"/>
      <c r="AF56" s="2683"/>
      <c r="AG56" s="2678"/>
      <c r="AH56" s="1449"/>
      <c r="AI56" s="1452"/>
    </row>
    <row r="57" spans="1:36" ht="14.25" customHeight="1">
      <c r="A57" s="2711" t="s">
        <v>1063</v>
      </c>
      <c r="B57" s="1359">
        <f t="shared" ref="B57" si="8">$AA57</f>
        <v>122.4</v>
      </c>
      <c r="C57" s="1990"/>
      <c r="D57" s="1359"/>
      <c r="E57" s="1990"/>
      <c r="F57" s="1359"/>
      <c r="G57" s="1990"/>
      <c r="H57" s="1359"/>
      <c r="I57" s="1970"/>
      <c r="J57" s="1359"/>
      <c r="K57" s="1970"/>
      <c r="L57" s="1359"/>
      <c r="M57" s="1970"/>
      <c r="N57" s="1359"/>
      <c r="O57" s="1970"/>
      <c r="P57" s="1781"/>
      <c r="Q57" s="1970"/>
      <c r="R57" s="1781"/>
      <c r="S57" s="1970"/>
      <c r="T57" s="1781"/>
      <c r="U57" s="1970"/>
      <c r="V57" s="1781"/>
      <c r="W57" s="1970"/>
      <c r="X57" s="1781"/>
      <c r="Y57" s="2696"/>
      <c r="Z57" s="1970"/>
      <c r="AA57" s="2712">
        <v>122.4</v>
      </c>
      <c r="AB57" s="2696"/>
      <c r="AC57" s="1970"/>
      <c r="AD57" s="2712">
        <v>36.5</v>
      </c>
      <c r="AE57" s="2682"/>
      <c r="AF57" s="2683"/>
      <c r="AG57" s="2713">
        <f>ROUND(SUM(AA57-AD57),1)</f>
        <v>85.9</v>
      </c>
      <c r="AH57" s="1449"/>
      <c r="AI57" s="1420">
        <f>ROUND(IF(AD57=0,0,AG57/ABS(AD57)),3)</f>
        <v>2.3530000000000002</v>
      </c>
    </row>
    <row r="58" spans="1:36" ht="15.5">
      <c r="A58" s="1452"/>
      <c r="B58" s="2699"/>
      <c r="C58" s="1990"/>
      <c r="D58" s="2699"/>
      <c r="E58" s="1990"/>
      <c r="F58" s="2699"/>
      <c r="G58" s="1990"/>
      <c r="H58" s="2699"/>
      <c r="I58" s="1970"/>
      <c r="J58" s="2700"/>
      <c r="K58" s="1970"/>
      <c r="L58" s="2700"/>
      <c r="M58" s="1970"/>
      <c r="N58" s="2700"/>
      <c r="O58" s="1970"/>
      <c r="P58" s="2700"/>
      <c r="Q58" s="1970"/>
      <c r="R58" s="2700"/>
      <c r="S58" s="1970"/>
      <c r="T58" s="2700"/>
      <c r="U58" s="1970"/>
      <c r="V58" s="2700"/>
      <c r="W58" s="1970"/>
      <c r="X58" s="2700"/>
      <c r="Y58" s="2696"/>
      <c r="Z58" s="1970"/>
      <c r="AA58" s="1990"/>
      <c r="AB58" s="2696"/>
      <c r="AC58" s="1970"/>
      <c r="AD58" s="1990"/>
      <c r="AE58" s="2682"/>
      <c r="AF58" s="2683"/>
      <c r="AG58" s="2678"/>
      <c r="AH58" s="1449"/>
      <c r="AI58" s="1452"/>
    </row>
    <row r="59" spans="1:36" ht="14.25" customHeight="1">
      <c r="A59" s="2707" t="s">
        <v>188</v>
      </c>
      <c r="B59" s="2701">
        <f>ROUND(SUM(B55:B57),1)</f>
        <v>122.6</v>
      </c>
      <c r="C59" s="2702"/>
      <c r="D59" s="2701">
        <f>ROUND(SUM(D55:D57),1)</f>
        <v>0</v>
      </c>
      <c r="E59" s="2703"/>
      <c r="F59" s="2701">
        <f>ROUND(SUM(F55:F57),1)</f>
        <v>0</v>
      </c>
      <c r="G59" s="2703"/>
      <c r="H59" s="2701">
        <f>ROUND(SUM(H55:H57),1)</f>
        <v>0</v>
      </c>
      <c r="I59" s="2704"/>
      <c r="J59" s="2705">
        <f>ROUND(SUM(J55:J57),1)</f>
        <v>0</v>
      </c>
      <c r="K59" s="2704"/>
      <c r="L59" s="2705">
        <f>ROUND(SUM(L55:L57),1)</f>
        <v>0</v>
      </c>
      <c r="M59" s="2704"/>
      <c r="N59" s="2705">
        <f>ROUND(SUM(N55:N57),1)</f>
        <v>0</v>
      </c>
      <c r="O59" s="2704"/>
      <c r="P59" s="2705">
        <f>ROUND(SUM(P55:P57),1)</f>
        <v>0</v>
      </c>
      <c r="Q59" s="2704"/>
      <c r="R59" s="2705">
        <f>ROUND(SUM(R55:R57),1)</f>
        <v>0</v>
      </c>
      <c r="S59" s="2704"/>
      <c r="T59" s="2705">
        <f>ROUND(SUM(T55:T57),1)</f>
        <v>0</v>
      </c>
      <c r="U59" s="2704"/>
      <c r="V59" s="2705">
        <f>ROUND(SUM(V55:V57),1)</f>
        <v>0</v>
      </c>
      <c r="W59" s="2704"/>
      <c r="X59" s="2705">
        <f>ROUND(SUM(X55:X57),1)</f>
        <v>0</v>
      </c>
      <c r="Y59" s="2687"/>
      <c r="Z59" s="2686"/>
      <c r="AA59" s="2705">
        <f>ROUND(SUM(AA55:AA57),1)</f>
        <v>122.6</v>
      </c>
      <c r="AB59" s="2687"/>
      <c r="AC59" s="2686"/>
      <c r="AD59" s="2705">
        <f>ROUND(SUM(AD55:AD57),1)</f>
        <v>36.5</v>
      </c>
      <c r="AE59" s="2688"/>
      <c r="AF59" s="2689"/>
      <c r="AG59" s="2705">
        <f>ROUND(SUM(AG55:AG57),1)</f>
        <v>86.1</v>
      </c>
      <c r="AH59" s="2647"/>
      <c r="AI59" s="1450">
        <f>ROUND(IF(AD59=0,0,AG59/ABS(AD59)),3)</f>
        <v>2.359</v>
      </c>
      <c r="AJ59" s="2714"/>
    </row>
    <row r="60" spans="1:36" ht="12" customHeight="1">
      <c r="A60" s="1452"/>
      <c r="B60" s="1990"/>
      <c r="C60" s="1990"/>
      <c r="D60" s="2715"/>
      <c r="E60" s="2715"/>
      <c r="F60" s="2715"/>
      <c r="G60" s="2715"/>
      <c r="H60" s="2715"/>
      <c r="I60" s="2716"/>
      <c r="J60" s="2716"/>
      <c r="K60" s="2716"/>
      <c r="L60" s="2716"/>
      <c r="M60" s="2716"/>
      <c r="N60" s="2716"/>
      <c r="O60" s="2716"/>
      <c r="P60" s="2716"/>
      <c r="Q60" s="2716"/>
      <c r="R60" s="2716"/>
      <c r="S60" s="2716"/>
      <c r="T60" s="2716"/>
      <c r="U60" s="2716"/>
      <c r="V60" s="2716"/>
      <c r="W60" s="2716"/>
      <c r="X60" s="2716"/>
      <c r="Y60" s="2696"/>
      <c r="Z60" s="1970"/>
      <c r="AA60" s="1990"/>
      <c r="AB60" s="2696"/>
      <c r="AC60" s="1970"/>
      <c r="AD60" s="1990"/>
      <c r="AE60" s="2682"/>
      <c r="AF60" s="2683"/>
      <c r="AG60" s="2678"/>
      <c r="AH60" s="1449"/>
      <c r="AI60" s="1452"/>
    </row>
    <row r="61" spans="1:36" ht="14.25" customHeight="1">
      <c r="A61" s="2707" t="s">
        <v>43</v>
      </c>
      <c r="B61" s="1990"/>
      <c r="C61" s="1990"/>
      <c r="D61" s="2715"/>
      <c r="E61" s="2715"/>
      <c r="F61" s="2715"/>
      <c r="G61" s="2715"/>
      <c r="H61" s="2715"/>
      <c r="I61" s="2716"/>
      <c r="J61" s="2716"/>
      <c r="K61" s="2716"/>
      <c r="L61" s="2716"/>
      <c r="M61" s="2716"/>
      <c r="N61" s="2716"/>
      <c r="O61" s="2716"/>
      <c r="P61" s="2716"/>
      <c r="Q61" s="2716"/>
      <c r="R61" s="2716"/>
      <c r="S61" s="2716"/>
      <c r="T61" s="2716"/>
      <c r="U61" s="2716"/>
      <c r="V61" s="2716"/>
      <c r="W61" s="2716"/>
      <c r="X61" s="2716"/>
      <c r="Y61" s="2696"/>
      <c r="Z61" s="1970"/>
      <c r="AA61" s="1990"/>
      <c r="AB61" s="2696"/>
      <c r="AC61" s="1970"/>
      <c r="AD61" s="1990"/>
      <c r="AE61" s="2682"/>
      <c r="AF61" s="2683"/>
      <c r="AG61" s="2678"/>
      <c r="AH61" s="1449"/>
      <c r="AI61" s="1452"/>
    </row>
    <row r="62" spans="1:36" ht="14.25" customHeight="1">
      <c r="A62" s="2464" t="s">
        <v>189</v>
      </c>
      <c r="B62" s="2701">
        <f>ROUND(SUM(B51-B59),1)</f>
        <v>4176.3999999999996</v>
      </c>
      <c r="C62" s="2702"/>
      <c r="D62" s="2701">
        <f>ROUND(SUM(D51-D59),1)</f>
        <v>0</v>
      </c>
      <c r="E62" s="2717"/>
      <c r="F62" s="2701">
        <f>ROUND(SUM(F51-F59),1)</f>
        <v>0</v>
      </c>
      <c r="G62" s="2703"/>
      <c r="H62" s="2701">
        <f>ROUND(SUM(H51-H59),1)</f>
        <v>0</v>
      </c>
      <c r="I62" s="2704"/>
      <c r="J62" s="2705">
        <f>ROUND(SUM(J51-J59),1)</f>
        <v>0</v>
      </c>
      <c r="K62" s="2704"/>
      <c r="L62" s="2705">
        <f>ROUND(SUM(L51-L59),1)</f>
        <v>0</v>
      </c>
      <c r="M62" s="2704"/>
      <c r="N62" s="2705">
        <f>ROUND(SUM(N51-N59),1)</f>
        <v>0</v>
      </c>
      <c r="O62" s="2704"/>
      <c r="P62" s="2705">
        <f>ROUND(SUM(P51-P59),1)</f>
        <v>0</v>
      </c>
      <c r="Q62" s="2704"/>
      <c r="R62" s="2705">
        <f>ROUND(SUM(R51-R59),1)</f>
        <v>0</v>
      </c>
      <c r="S62" s="2704"/>
      <c r="T62" s="2705">
        <f>ROUND(SUM(T51-T59),1)</f>
        <v>0</v>
      </c>
      <c r="U62" s="2704"/>
      <c r="V62" s="2705">
        <f>ROUND(SUM(V51-V59),1)</f>
        <v>0</v>
      </c>
      <c r="W62" s="2704"/>
      <c r="X62" s="2705">
        <f>ROUND(SUM(X51-X59),1)</f>
        <v>0</v>
      </c>
      <c r="Y62" s="2687"/>
      <c r="Z62" s="2686"/>
      <c r="AA62" s="2705">
        <f>ROUND(SUM(AA51-AA59),1)</f>
        <v>4176.3999999999996</v>
      </c>
      <c r="AB62" s="2687"/>
      <c r="AC62" s="2686"/>
      <c r="AD62" s="2705">
        <f>ROUND(SUM(AD51-AD59),1)</f>
        <v>1495.4</v>
      </c>
      <c r="AE62" s="2688"/>
      <c r="AF62" s="2689"/>
      <c r="AG62" s="2705">
        <f>ROUND(SUM(+AG51-AG59),1)</f>
        <v>2681</v>
      </c>
      <c r="AH62" s="2647"/>
      <c r="AI62" s="1450">
        <f>ROUND(IF(AD62=0,0,AG62/ABS(AD62)),3)</f>
        <v>1.7929999999999999</v>
      </c>
      <c r="AJ62" s="2706"/>
    </row>
    <row r="63" spans="1:36" ht="19.5" customHeight="1">
      <c r="A63" s="1452"/>
      <c r="B63" s="2695"/>
      <c r="C63" s="1990"/>
      <c r="D63" s="1990"/>
      <c r="E63" s="1990"/>
      <c r="F63" s="1990"/>
      <c r="G63" s="1990"/>
      <c r="H63" s="1990"/>
      <c r="I63" s="1970"/>
      <c r="J63" s="1970"/>
      <c r="K63" s="1970"/>
      <c r="L63" s="1970"/>
      <c r="M63" s="1970"/>
      <c r="N63" s="1970"/>
      <c r="O63" s="1970"/>
      <c r="P63" s="1970"/>
      <c r="Q63" s="1970"/>
      <c r="R63" s="1970"/>
      <c r="S63" s="1970"/>
      <c r="T63" s="1970"/>
      <c r="U63" s="1970"/>
      <c r="V63" s="1970"/>
      <c r="W63" s="1970"/>
      <c r="X63" s="1970"/>
      <c r="Y63" s="2696"/>
      <c r="Z63" s="1970"/>
      <c r="AA63" s="2695"/>
      <c r="AB63" s="2696"/>
      <c r="AC63" s="1970"/>
      <c r="AD63" s="2695"/>
      <c r="AE63" s="2682"/>
      <c r="AF63" s="2683"/>
      <c r="AG63" s="2678"/>
      <c r="AH63" s="1449"/>
      <c r="AI63" s="1452"/>
    </row>
    <row r="64" spans="1:36" ht="19.5" customHeight="1">
      <c r="A64" s="1452"/>
      <c r="B64" s="1990"/>
      <c r="C64" s="1990"/>
      <c r="D64" s="1990"/>
      <c r="E64" s="1990"/>
      <c r="F64" s="1990"/>
      <c r="G64" s="1990"/>
      <c r="H64" s="1990"/>
      <c r="I64" s="1970"/>
      <c r="J64" s="1970"/>
      <c r="K64" s="1970"/>
      <c r="L64" s="1970"/>
      <c r="M64" s="1970"/>
      <c r="N64" s="1970"/>
      <c r="O64" s="1970"/>
      <c r="P64" s="1970"/>
      <c r="Q64" s="1970"/>
      <c r="R64" s="1970"/>
      <c r="S64" s="1970"/>
      <c r="T64" s="3848" t="s">
        <v>14</v>
      </c>
      <c r="U64" s="1970"/>
      <c r="V64" s="3848" t="s">
        <v>14</v>
      </c>
      <c r="W64" s="1970"/>
      <c r="X64" s="3848" t="s">
        <v>14</v>
      </c>
      <c r="Y64" s="2696"/>
      <c r="Z64" s="1970"/>
      <c r="AA64" s="1990"/>
      <c r="AB64" s="2696"/>
      <c r="AC64" s="1970"/>
      <c r="AD64" s="1990"/>
      <c r="AE64" s="2682"/>
      <c r="AF64" s="2683"/>
      <c r="AG64" s="2678"/>
      <c r="AH64" s="1449"/>
      <c r="AI64" s="1452"/>
    </row>
    <row r="65" spans="1:38" ht="14.25" customHeight="1">
      <c r="A65" s="2707" t="s">
        <v>45</v>
      </c>
      <c r="B65" s="1990"/>
      <c r="C65" s="1990"/>
      <c r="D65" s="1990"/>
      <c r="E65" s="1990"/>
      <c r="F65" s="1990"/>
      <c r="G65" s="1990"/>
      <c r="H65" s="1990"/>
      <c r="I65" s="1970"/>
      <c r="J65" s="1970"/>
      <c r="K65" s="1970"/>
      <c r="L65" s="1970"/>
      <c r="M65" s="1970"/>
      <c r="N65" s="1970"/>
      <c r="O65" s="1970"/>
      <c r="P65" s="1970"/>
      <c r="Q65" s="1970"/>
      <c r="R65" s="1970"/>
      <c r="S65" s="1970"/>
      <c r="T65" s="1970"/>
      <c r="U65" s="1970"/>
      <c r="V65" s="1970"/>
      <c r="W65" s="1970"/>
      <c r="X65" s="1970"/>
      <c r="Y65" s="2696"/>
      <c r="Z65" s="1970"/>
      <c r="AA65" s="1990"/>
      <c r="AB65" s="2696"/>
      <c r="AC65" s="1970"/>
      <c r="AD65" s="1990"/>
      <c r="AE65" s="2682"/>
      <c r="AF65" s="2683"/>
      <c r="AG65" s="2678"/>
      <c r="AH65" s="1449"/>
      <c r="AI65" s="1452"/>
    </row>
    <row r="66" spans="1:38" ht="14.25" customHeight="1">
      <c r="A66" s="2708" t="s">
        <v>180</v>
      </c>
      <c r="B66" s="1359">
        <f t="shared" ref="B66:B67" si="9">$AA66</f>
        <v>295.89999999999998</v>
      </c>
      <c r="C66" s="1990"/>
      <c r="D66" s="1359"/>
      <c r="E66" s="1990"/>
      <c r="F66" s="1359"/>
      <c r="G66" s="1990"/>
      <c r="H66" s="1359"/>
      <c r="I66" s="1970"/>
      <c r="J66" s="1359"/>
      <c r="K66" s="1970"/>
      <c r="L66" s="1359"/>
      <c r="M66" s="1970"/>
      <c r="N66" s="1359"/>
      <c r="O66" s="1970"/>
      <c r="P66" s="1781"/>
      <c r="Q66" s="1970"/>
      <c r="R66" s="1781"/>
      <c r="S66" s="1970"/>
      <c r="T66" s="1781"/>
      <c r="U66" s="1970"/>
      <c r="V66" s="1781"/>
      <c r="W66" s="1970"/>
      <c r="X66" s="1781"/>
      <c r="Y66" s="2696"/>
      <c r="Z66" s="1970"/>
      <c r="AA66" s="1976">
        <v>295.89999999999998</v>
      </c>
      <c r="AB66" s="2696"/>
      <c r="AC66" s="1970"/>
      <c r="AD66" s="1976">
        <v>280.2</v>
      </c>
      <c r="AE66" s="2682"/>
      <c r="AF66" s="2683"/>
      <c r="AG66" s="2678">
        <f>ROUND(SUM(AA66-AD66),1)</f>
        <v>15.7</v>
      </c>
      <c r="AH66" s="1449"/>
      <c r="AI66" s="1419">
        <f>ROUND(IF(AD66=0,0,AG66/ABS(AD66)),3)</f>
        <v>5.6000000000000001E-2</v>
      </c>
    </row>
    <row r="67" spans="1:38" ht="14.25" customHeight="1">
      <c r="A67" s="2708" t="s">
        <v>190</v>
      </c>
      <c r="B67" s="1359">
        <f t="shared" si="9"/>
        <v>-4330.8</v>
      </c>
      <c r="C67" s="1990"/>
      <c r="D67" s="1359"/>
      <c r="E67" s="1990"/>
      <c r="F67" s="1359"/>
      <c r="G67" s="1990"/>
      <c r="H67" s="1359"/>
      <c r="I67" s="1970"/>
      <c r="J67" s="1359"/>
      <c r="K67" s="1970"/>
      <c r="L67" s="1359"/>
      <c r="M67" s="1970"/>
      <c r="N67" s="1359"/>
      <c r="O67" s="1970"/>
      <c r="P67" s="1781"/>
      <c r="Q67" s="1970"/>
      <c r="R67" s="1781"/>
      <c r="S67" s="1970"/>
      <c r="T67" s="1781"/>
      <c r="U67" s="1970"/>
      <c r="V67" s="1781"/>
      <c r="W67" s="1970"/>
      <c r="X67" s="1781"/>
      <c r="Y67" s="2696"/>
      <c r="Z67" s="1970"/>
      <c r="AA67" s="2718">
        <v>-4330.8</v>
      </c>
      <c r="AB67" s="2696"/>
      <c r="AC67" s="1970"/>
      <c r="AD67" s="2718">
        <v>-1446.1</v>
      </c>
      <c r="AE67" s="2682"/>
      <c r="AF67" s="2683"/>
      <c r="AG67" s="2713">
        <f>ROUND(SUM(-(AA67-AD67)),1)</f>
        <v>2884.7</v>
      </c>
      <c r="AH67" s="1449"/>
      <c r="AI67" s="1420">
        <f>ROUND(IF(AD67=0,0,AG67/ABS(AD67)),3)</f>
        <v>1.9950000000000001</v>
      </c>
    </row>
    <row r="68" spans="1:38" ht="15.5">
      <c r="A68" s="1452"/>
      <c r="B68" s="2700"/>
      <c r="C68" s="1970"/>
      <c r="D68" s="2719"/>
      <c r="E68" s="1970"/>
      <c r="F68" s="2719"/>
      <c r="G68" s="1970"/>
      <c r="H68" s="2719"/>
      <c r="I68" s="1970"/>
      <c r="J68" s="2719"/>
      <c r="K68" s="1970"/>
      <c r="L68" s="2719"/>
      <c r="M68" s="1970"/>
      <c r="N68" s="2719"/>
      <c r="O68" s="1970"/>
      <c r="P68" s="2719"/>
      <c r="Q68" s="1970"/>
      <c r="R68" s="2719"/>
      <c r="S68" s="1970"/>
      <c r="T68" s="2719"/>
      <c r="U68" s="1970"/>
      <c r="V68" s="2719"/>
      <c r="W68" s="1970"/>
      <c r="X68" s="2719"/>
      <c r="Y68" s="2696"/>
      <c r="Z68" s="1970"/>
      <c r="AA68" s="1990"/>
      <c r="AB68" s="2696"/>
      <c r="AC68" s="1970"/>
      <c r="AD68" s="1990"/>
      <c r="AE68" s="2682"/>
      <c r="AF68" s="2683"/>
      <c r="AG68" s="2678"/>
      <c r="AH68" s="1449"/>
      <c r="AI68" s="1452"/>
    </row>
    <row r="69" spans="1:38" ht="14.25" customHeight="1">
      <c r="A69" s="2707" t="s">
        <v>870</v>
      </c>
      <c r="B69" s="1975">
        <f>ROUND(SUM(B66:B67),1)</f>
        <v>-4034.9</v>
      </c>
      <c r="C69" s="2686"/>
      <c r="D69" s="1975">
        <f>ROUND(SUM(D66:D67),1)</f>
        <v>0</v>
      </c>
      <c r="E69" s="2704"/>
      <c r="F69" s="1975">
        <f>ROUND(SUM(F66:F67),1)</f>
        <v>0</v>
      </c>
      <c r="G69" s="2704"/>
      <c r="H69" s="1975">
        <f>ROUND(SUM(H66:H67),1)</f>
        <v>0</v>
      </c>
      <c r="I69" s="2704"/>
      <c r="J69" s="1975">
        <f>ROUND(SUM(J66:J67),1)</f>
        <v>0</v>
      </c>
      <c r="K69" s="2704"/>
      <c r="L69" s="1975">
        <f>ROUND(SUM(L66:L67),1)</f>
        <v>0</v>
      </c>
      <c r="M69" s="2704"/>
      <c r="N69" s="1975">
        <f>ROUND(SUM(N66:N67),1)</f>
        <v>0</v>
      </c>
      <c r="O69" s="2704"/>
      <c r="P69" s="1975">
        <f>ROUND(SUM(P66:P67),1)</f>
        <v>0</v>
      </c>
      <c r="Q69" s="2704"/>
      <c r="R69" s="1975">
        <f>ROUND(SUM(R66:R67),1)</f>
        <v>0</v>
      </c>
      <c r="S69" s="2704"/>
      <c r="T69" s="1975">
        <f>ROUND(SUM(T66:T67),1)</f>
        <v>0</v>
      </c>
      <c r="U69" s="2704"/>
      <c r="V69" s="1975">
        <f>ROUND(SUM(V66:V67),1)</f>
        <v>0</v>
      </c>
      <c r="W69" s="2704"/>
      <c r="X69" s="1975">
        <f>ROUND(SUM(X66:X67),1)</f>
        <v>0</v>
      </c>
      <c r="Y69" s="2687"/>
      <c r="Z69" s="2686"/>
      <c r="AA69" s="1975">
        <f>ROUND(SUM(AA66:AA67),1)</f>
        <v>-4034.9</v>
      </c>
      <c r="AB69" s="2687"/>
      <c r="AC69" s="2686"/>
      <c r="AD69" s="1975">
        <f>ROUND(SUM(AD66:AD67),1)</f>
        <v>-1165.9000000000001</v>
      </c>
      <c r="AE69" s="2688"/>
      <c r="AF69" s="2689"/>
      <c r="AG69" s="1975">
        <f>ROUND(SUM(AG66-AG67),1)</f>
        <v>-2869</v>
      </c>
      <c r="AH69" s="2647"/>
      <c r="AI69" s="1450">
        <f>ROUND(IF(AD69=0,0,AG69/ABS(AD69)),3)</f>
        <v>-2.4609999999999999</v>
      </c>
      <c r="AJ69" s="2706"/>
    </row>
    <row r="70" spans="1:38" ht="19.5" customHeight="1">
      <c r="A70" s="1452"/>
      <c r="B70" s="1970"/>
      <c r="C70" s="1970"/>
      <c r="D70" s="2720"/>
      <c r="E70" s="1970"/>
      <c r="F70" s="2720"/>
      <c r="G70" s="1970"/>
      <c r="H70" s="2720"/>
      <c r="I70" s="1970"/>
      <c r="J70" s="2720"/>
      <c r="K70" s="1970"/>
      <c r="L70" s="2720"/>
      <c r="M70" s="1970"/>
      <c r="N70" s="2720"/>
      <c r="O70" s="1970"/>
      <c r="P70" s="2720"/>
      <c r="Q70" s="1970"/>
      <c r="R70" s="2720"/>
      <c r="S70" s="1970"/>
      <c r="T70" s="2720"/>
      <c r="U70" s="1970"/>
      <c r="V70" s="2720"/>
      <c r="W70" s="1970"/>
      <c r="X70" s="2720"/>
      <c r="Y70" s="2696"/>
      <c r="Z70" s="1970"/>
      <c r="AA70" s="1990"/>
      <c r="AB70" s="2696"/>
      <c r="AC70" s="1970"/>
      <c r="AD70" s="1990"/>
      <c r="AE70" s="2682"/>
      <c r="AF70" s="2683"/>
      <c r="AG70" s="2678"/>
      <c r="AH70" s="1449"/>
      <c r="AI70" s="1452"/>
    </row>
    <row r="71" spans="1:38" ht="19.5" customHeight="1">
      <c r="A71" s="1452"/>
      <c r="B71" s="1970"/>
      <c r="C71" s="1970"/>
      <c r="D71" s="2720"/>
      <c r="E71" s="1970"/>
      <c r="F71" s="2720"/>
      <c r="G71" s="1970"/>
      <c r="H71" s="2720"/>
      <c r="I71" s="1970"/>
      <c r="J71" s="2720"/>
      <c r="K71" s="1970"/>
      <c r="L71" s="2720"/>
      <c r="M71" s="1970"/>
      <c r="N71" s="2720"/>
      <c r="O71" s="1970"/>
      <c r="P71" s="2720"/>
      <c r="Q71" s="1970"/>
      <c r="R71" s="2720"/>
      <c r="S71" s="1970"/>
      <c r="T71" s="2720"/>
      <c r="U71" s="1970"/>
      <c r="V71" s="2720"/>
      <c r="W71" s="1970"/>
      <c r="X71" s="2720"/>
      <c r="Y71" s="2696"/>
      <c r="Z71" s="1970"/>
      <c r="AA71" s="1990"/>
      <c r="AB71" s="2696"/>
      <c r="AC71" s="1970"/>
      <c r="AD71" s="1990"/>
      <c r="AE71" s="2682"/>
      <c r="AF71" s="2683"/>
      <c r="AG71" s="2678"/>
      <c r="AH71" s="1449"/>
      <c r="AI71" s="1452"/>
    </row>
    <row r="72" spans="1:38" ht="14.25" customHeight="1">
      <c r="A72" s="2464" t="s">
        <v>191</v>
      </c>
      <c r="B72" s="1970"/>
      <c r="C72" s="1970"/>
      <c r="D72" s="2716"/>
      <c r="E72" s="1970"/>
      <c r="F72" s="2716"/>
      <c r="G72" s="1970"/>
      <c r="H72" s="2716"/>
      <c r="I72" s="1970"/>
      <c r="J72" s="2716"/>
      <c r="K72" s="1970"/>
      <c r="L72" s="2716"/>
      <c r="M72" s="1970"/>
      <c r="N72" s="2716"/>
      <c r="O72" s="1970"/>
      <c r="P72" s="2716"/>
      <c r="Q72" s="1970"/>
      <c r="R72" s="2716"/>
      <c r="S72" s="1970"/>
      <c r="T72" s="2716"/>
      <c r="U72" s="1970"/>
      <c r="V72" s="2716"/>
      <c r="W72" s="1970"/>
      <c r="X72" s="2716"/>
      <c r="Y72" s="2696"/>
      <c r="Z72" s="1970"/>
      <c r="AA72" s="1990"/>
      <c r="AB72" s="2696"/>
      <c r="AC72" s="1970"/>
      <c r="AD72" s="1990"/>
      <c r="AE72" s="2682"/>
      <c r="AF72" s="2683"/>
      <c r="AG72" s="2678"/>
      <c r="AH72" s="1449"/>
      <c r="AI72" s="1452"/>
    </row>
    <row r="73" spans="1:38" ht="14.25" customHeight="1">
      <c r="A73" s="2464" t="s">
        <v>192</v>
      </c>
      <c r="B73" s="1970"/>
      <c r="C73" s="1970"/>
      <c r="D73" s="2716"/>
      <c r="E73" s="1970"/>
      <c r="F73" s="2716"/>
      <c r="G73" s="1970"/>
      <c r="H73" s="2716"/>
      <c r="I73" s="1970"/>
      <c r="J73" s="2716"/>
      <c r="K73" s="1970"/>
      <c r="L73" s="2716"/>
      <c r="M73" s="1970"/>
      <c r="N73" s="2716"/>
      <c r="O73" s="1970"/>
      <c r="P73" s="2716"/>
      <c r="Q73" s="1970"/>
      <c r="R73" s="2716"/>
      <c r="S73" s="1970"/>
      <c r="T73" s="2716"/>
      <c r="U73" s="1970"/>
      <c r="V73" s="2716"/>
      <c r="W73" s="1970"/>
      <c r="X73" s="2716"/>
      <c r="Y73" s="2696"/>
      <c r="Z73" s="1970"/>
      <c r="AA73" s="1990"/>
      <c r="AB73" s="2696"/>
      <c r="AC73" s="1970"/>
      <c r="AD73" s="1990"/>
      <c r="AE73" s="2682"/>
      <c r="AF73" s="2683"/>
      <c r="AG73" s="2678"/>
      <c r="AH73" s="1449"/>
      <c r="AI73" s="1452"/>
    </row>
    <row r="74" spans="1:38" ht="14.25" customHeight="1">
      <c r="A74" s="2464" t="s">
        <v>1140</v>
      </c>
      <c r="B74" s="2705">
        <f>ROUND(SUM(+B62+B69),1)</f>
        <v>141.5</v>
      </c>
      <c r="C74" s="2686"/>
      <c r="D74" s="2705">
        <f>ROUND(SUM(+D62+D69),1)</f>
        <v>0</v>
      </c>
      <c r="E74" s="2686"/>
      <c r="F74" s="2705">
        <f>ROUND(SUM(+F62+F69),1)</f>
        <v>0</v>
      </c>
      <c r="G74" s="2686"/>
      <c r="H74" s="2705">
        <f>ROUND(SUM(+H62+H69),1)</f>
        <v>0</v>
      </c>
      <c r="I74" s="2686"/>
      <c r="J74" s="2705">
        <f>ROUND(SUM(+J62+J69),1)</f>
        <v>0</v>
      </c>
      <c r="K74" s="2686"/>
      <c r="L74" s="2705">
        <f>ROUND(SUM(+L62+L69),1)</f>
        <v>0</v>
      </c>
      <c r="M74" s="2686"/>
      <c r="N74" s="2705">
        <f>ROUND(SUM(+N62+N69),1)</f>
        <v>0</v>
      </c>
      <c r="O74" s="2686"/>
      <c r="P74" s="2705">
        <f>ROUND(SUM(+P62+P69),1)</f>
        <v>0</v>
      </c>
      <c r="Q74" s="2686"/>
      <c r="R74" s="2705">
        <f>ROUND(SUM(+R62+R69),1)</f>
        <v>0</v>
      </c>
      <c r="S74" s="2686"/>
      <c r="T74" s="2705">
        <f>ROUND(SUM(+T62+T69),1)</f>
        <v>0</v>
      </c>
      <c r="U74" s="2686"/>
      <c r="V74" s="2705">
        <f>ROUND(SUM(+V62+V69),1)</f>
        <v>0</v>
      </c>
      <c r="W74" s="2686"/>
      <c r="X74" s="2705">
        <f>ROUND(SUM(+X62+X69),1)</f>
        <v>0</v>
      </c>
      <c r="Y74" s="2687"/>
      <c r="Z74" s="2686"/>
      <c r="AA74" s="2705">
        <f>ROUND(SUM(+AA62+AA69),1)</f>
        <v>141.5</v>
      </c>
      <c r="AB74" s="2687"/>
      <c r="AC74" s="2686"/>
      <c r="AD74" s="2705">
        <f>ROUND(SUM(+AD62+AD69),1)</f>
        <v>329.5</v>
      </c>
      <c r="AE74" s="2688"/>
      <c r="AF74" s="2689"/>
      <c r="AG74" s="2705">
        <f>ROUND(SUM(+AG62+AG69),1)</f>
        <v>-188</v>
      </c>
      <c r="AH74" s="2647"/>
      <c r="AI74" s="1459">
        <f>ROUND(IF(AD74=0,0,AG74/ABS(AD74)),3)</f>
        <v>-0.57099999999999995</v>
      </c>
      <c r="AJ74" s="2706"/>
    </row>
    <row r="75" spans="1:38" ht="15.5">
      <c r="A75" s="1452"/>
      <c r="B75" s="1972"/>
      <c r="C75" s="1972"/>
      <c r="D75" s="2721"/>
      <c r="E75" s="1972"/>
      <c r="F75" s="2722"/>
      <c r="G75" s="1972"/>
      <c r="H75" s="2722"/>
      <c r="I75" s="1972"/>
      <c r="J75" s="2722"/>
      <c r="K75" s="1972"/>
      <c r="L75" s="2723"/>
      <c r="M75" s="1972"/>
      <c r="N75" s="2722"/>
      <c r="O75" s="1972"/>
      <c r="P75" s="2722"/>
      <c r="Q75" s="1972"/>
      <c r="R75" s="2722"/>
      <c r="S75" s="1972"/>
      <c r="T75" s="2722"/>
      <c r="U75" s="1972"/>
      <c r="V75" s="2722"/>
      <c r="W75" s="1972"/>
      <c r="X75" s="2722"/>
      <c r="Y75" s="2673"/>
      <c r="Z75" s="1972"/>
      <c r="AA75" s="1972" t="s">
        <v>14</v>
      </c>
      <c r="AB75" s="2673"/>
      <c r="AC75" s="1972"/>
      <c r="AD75" s="3457"/>
      <c r="AE75" s="2660"/>
      <c r="AF75" s="2674"/>
      <c r="AG75" s="2675"/>
      <c r="AH75" s="1449"/>
      <c r="AI75" s="1452"/>
    </row>
    <row r="76" spans="1:38" ht="15.5">
      <c r="A76" s="1452"/>
      <c r="B76" s="1452"/>
      <c r="C76" s="1452"/>
      <c r="D76" s="2659"/>
      <c r="E76" s="1452"/>
      <c r="F76" s="2675"/>
      <c r="G76" s="1452"/>
      <c r="H76" s="1449"/>
      <c r="I76" s="1452"/>
      <c r="J76" s="1449"/>
      <c r="K76" s="1452"/>
      <c r="L76" s="2724"/>
      <c r="M76" s="1452"/>
      <c r="N76" s="1449"/>
      <c r="O76" s="1452"/>
      <c r="P76" s="1449"/>
      <c r="Q76" s="1452"/>
      <c r="R76" s="1449"/>
      <c r="S76" s="1452"/>
      <c r="T76" s="2675"/>
      <c r="U76" s="1972"/>
      <c r="V76" s="2675"/>
      <c r="W76" s="1972"/>
      <c r="X76" s="2675"/>
      <c r="Y76" s="2672"/>
      <c r="Z76" s="1452"/>
      <c r="AA76" s="1972"/>
      <c r="AB76" s="2673"/>
      <c r="AC76" s="1972"/>
      <c r="AD76" s="2596"/>
      <c r="AE76" s="2663"/>
      <c r="AF76" s="2674"/>
      <c r="AG76" s="2675"/>
      <c r="AH76" s="1449"/>
      <c r="AI76" s="1452"/>
    </row>
    <row r="77" spans="1:38" ht="19.5" customHeight="1" thickBot="1">
      <c r="A77" s="2464" t="s">
        <v>140</v>
      </c>
      <c r="B77" s="2725">
        <f>ROUND(SUM(B12+B74),1)</f>
        <v>206.5</v>
      </c>
      <c r="C77" s="2444"/>
      <c r="D77" s="2725">
        <f>ROUND(SUM(D12+D74),1)</f>
        <v>0</v>
      </c>
      <c r="E77" s="2444"/>
      <c r="F77" s="2725">
        <f>ROUND(SUM(F12+F74),1)</f>
        <v>0</v>
      </c>
      <c r="G77" s="2444"/>
      <c r="H77" s="2725">
        <f>ROUND(SUM(H12+H74),1)</f>
        <v>0</v>
      </c>
      <c r="I77" s="2444"/>
      <c r="J77" s="2725">
        <f>ROUND(SUM(J12+J74),1)</f>
        <v>0</v>
      </c>
      <c r="K77" s="2444"/>
      <c r="L77" s="2725">
        <f>ROUND(SUM(L12+L74),1)</f>
        <v>0</v>
      </c>
      <c r="M77" s="2444"/>
      <c r="N77" s="2725">
        <f>ROUND(SUM(N12+N74),1)</f>
        <v>0</v>
      </c>
      <c r="O77" s="2444"/>
      <c r="P77" s="2725">
        <f>ROUND(SUM(P12+P74),1)</f>
        <v>0</v>
      </c>
      <c r="Q77" s="2444"/>
      <c r="R77" s="2725">
        <f>ROUND(SUM(R12+R74),1)</f>
        <v>0</v>
      </c>
      <c r="S77" s="2444"/>
      <c r="T77" s="2725">
        <f>ROUND(SUM(T12+T74),1)</f>
        <v>0</v>
      </c>
      <c r="U77" s="2444"/>
      <c r="V77" s="2725">
        <f>ROUND(SUM(V12+V74),1)</f>
        <v>0</v>
      </c>
      <c r="W77" s="2444"/>
      <c r="X77" s="2725">
        <f>ROUND(SUM(X12+X74),1)</f>
        <v>0</v>
      </c>
      <c r="Y77" s="2667"/>
      <c r="Z77" s="2444"/>
      <c r="AA77" s="2725">
        <f>ROUND(SUM(AA12+AA74),1)</f>
        <v>206.5</v>
      </c>
      <c r="AB77" s="2667"/>
      <c r="AC77" s="2444"/>
      <c r="AD77" s="2725">
        <f>ROUND(SUM(AD12+AD74),1)</f>
        <v>392.9</v>
      </c>
      <c r="AE77" s="2726"/>
      <c r="AF77" s="2669"/>
      <c r="AG77" s="2725">
        <f>ROUND(SUM(+AG12+AG74),1)</f>
        <v>-186.4</v>
      </c>
      <c r="AH77" s="2647"/>
      <c r="AI77" s="2315">
        <f>ROUND(IF(AD77=0,0,AG77/ABS(AD77)),3)</f>
        <v>-0.47399999999999998</v>
      </c>
      <c r="AJ77" s="2727"/>
      <c r="AK77" s="2691"/>
      <c r="AL77" s="2691"/>
    </row>
    <row r="78" spans="1:38" ht="14.25" customHeight="1" thickTop="1">
      <c r="A78" s="2691"/>
      <c r="B78" s="2728"/>
      <c r="C78" s="2729"/>
      <c r="D78" s="2728"/>
      <c r="F78" s="2728"/>
      <c r="H78" s="2730"/>
      <c r="J78" s="2730"/>
      <c r="L78" s="2730"/>
      <c r="N78" s="2730"/>
      <c r="P78" s="2730"/>
      <c r="R78" s="2730"/>
      <c r="T78" s="2730"/>
      <c r="U78" s="2637"/>
      <c r="V78" s="2730"/>
      <c r="W78" s="2637"/>
      <c r="X78" s="2730"/>
      <c r="Y78" s="2728"/>
      <c r="Z78" s="2729"/>
      <c r="AA78" s="2728"/>
      <c r="AB78" s="2728"/>
      <c r="AC78" s="2729"/>
      <c r="AD78" s="2728"/>
      <c r="AE78" s="2731"/>
      <c r="AF78" s="2728"/>
      <c r="AG78" s="2728"/>
      <c r="AH78" s="2732"/>
      <c r="AI78" s="2733"/>
    </row>
    <row r="79" spans="1:38">
      <c r="L79" s="2637"/>
      <c r="T79" s="2734"/>
      <c r="U79" s="2734"/>
      <c r="V79" s="2734"/>
      <c r="W79" s="2734"/>
      <c r="X79" s="2734"/>
      <c r="AD79" s="2735"/>
    </row>
    <row r="80" spans="1:38" ht="12" customHeight="1">
      <c r="A80" s="1452"/>
      <c r="L80" s="2637"/>
      <c r="R80" s="2736"/>
      <c r="T80" s="2729"/>
      <c r="V80" s="2729"/>
      <c r="X80" s="2729"/>
    </row>
    <row r="81" spans="1:35">
      <c r="B81" s="2735"/>
      <c r="L81" s="2637"/>
      <c r="R81" s="2736"/>
      <c r="T81" s="2729"/>
      <c r="V81" s="2729"/>
      <c r="X81" s="2729"/>
    </row>
    <row r="82" spans="1:35">
      <c r="A82" s="2737"/>
      <c r="L82" s="2637"/>
    </row>
    <row r="83" spans="1:35">
      <c r="A83" s="2738"/>
      <c r="B83" s="2735"/>
      <c r="L83" s="2637"/>
      <c r="R83" s="2739"/>
    </row>
    <row r="84" spans="1:35">
      <c r="A84" s="2740"/>
      <c r="B84" s="2735"/>
      <c r="L84" s="2637"/>
    </row>
    <row r="85" spans="1:35">
      <c r="A85" s="2741"/>
      <c r="L85" s="2637"/>
      <c r="AI85" s="2729"/>
    </row>
    <row r="86" spans="1:35">
      <c r="L86" s="2637"/>
    </row>
    <row r="87" spans="1:35">
      <c r="L87" s="2637"/>
    </row>
    <row r="88" spans="1:35">
      <c r="L88" s="2637"/>
    </row>
    <row r="89" spans="1:35">
      <c r="L89" s="2637"/>
    </row>
    <row r="90" spans="1:35">
      <c r="L90" s="2637"/>
    </row>
    <row r="91" spans="1:35">
      <c r="L91" s="2637"/>
    </row>
    <row r="92" spans="1:35">
      <c r="L92" s="2637"/>
    </row>
    <row r="93" spans="1:35">
      <c r="L93" s="2637"/>
    </row>
    <row r="94" spans="1:35">
      <c r="L94" s="2637"/>
    </row>
    <row r="95" spans="1:35">
      <c r="L95" s="2637"/>
    </row>
    <row r="96" spans="1:35">
      <c r="L96" s="2637"/>
    </row>
    <row r="97" spans="12:12">
      <c r="L97" s="2637"/>
    </row>
    <row r="98" spans="12:12">
      <c r="L98" s="2637"/>
    </row>
    <row r="99" spans="12:12">
      <c r="L99" s="2637"/>
    </row>
    <row r="100" spans="12:12">
      <c r="L100" s="2637"/>
    </row>
    <row r="101" spans="12:12">
      <c r="L101" s="2637"/>
    </row>
    <row r="102" spans="12:12">
      <c r="L102" s="2637"/>
    </row>
    <row r="103" spans="12:12">
      <c r="L103" s="2637"/>
    </row>
    <row r="104" spans="12:12">
      <c r="L104" s="2637"/>
    </row>
    <row r="105" spans="12:12">
      <c r="L105" s="2637"/>
    </row>
    <row r="106" spans="12:12">
      <c r="L106" s="2637"/>
    </row>
    <row r="107" spans="12:12">
      <c r="L107" s="2637"/>
    </row>
    <row r="108" spans="12:12">
      <c r="L108" s="2637"/>
    </row>
    <row r="109" spans="12:12">
      <c r="L109" s="2637"/>
    </row>
    <row r="110" spans="12:12">
      <c r="L110" s="2637"/>
    </row>
    <row r="111" spans="12:12">
      <c r="L111" s="2637"/>
    </row>
    <row r="112" spans="12:12">
      <c r="L112" s="2637"/>
    </row>
    <row r="113" spans="12:12">
      <c r="L113" s="2637"/>
    </row>
    <row r="114" spans="12:12">
      <c r="L114" s="2637"/>
    </row>
    <row r="115" spans="12:12">
      <c r="L115" s="2637"/>
    </row>
    <row r="116" spans="12:12">
      <c r="L116" s="2637"/>
    </row>
    <row r="117" spans="12:12">
      <c r="L117" s="2637"/>
    </row>
    <row r="118" spans="12:12">
      <c r="L118" s="2637"/>
    </row>
    <row r="119" spans="12:12">
      <c r="L119" s="2637"/>
    </row>
    <row r="120" spans="12:12">
      <c r="L120" s="2637"/>
    </row>
    <row r="121" spans="12:12">
      <c r="L121" s="2637"/>
    </row>
    <row r="122" spans="12:12">
      <c r="L122" s="2637"/>
    </row>
    <row r="123" spans="12:12">
      <c r="L123" s="2637"/>
    </row>
    <row r="124" spans="12:12">
      <c r="L124" s="2637"/>
    </row>
    <row r="125" spans="12:12">
      <c r="L125" s="2637"/>
    </row>
    <row r="126" spans="12:12">
      <c r="L126" s="2637"/>
    </row>
    <row r="127" spans="12:12">
      <c r="L127" s="2637"/>
    </row>
    <row r="128" spans="12:12">
      <c r="L128" s="2637"/>
    </row>
    <row r="129" spans="12:12">
      <c r="L129" s="2637"/>
    </row>
    <row r="130" spans="12:12">
      <c r="L130" s="2637"/>
    </row>
    <row r="131" spans="12:12">
      <c r="L131" s="2637"/>
    </row>
    <row r="132" spans="12:12">
      <c r="L132" s="2637"/>
    </row>
    <row r="133" spans="12:12">
      <c r="L133" s="2637"/>
    </row>
    <row r="134" spans="12:12">
      <c r="L134" s="2637"/>
    </row>
    <row r="135" spans="12:12">
      <c r="L135" s="2637"/>
    </row>
    <row r="136" spans="12:12">
      <c r="L136" s="2637"/>
    </row>
    <row r="137" spans="12:12">
      <c r="L137" s="2637"/>
    </row>
    <row r="138" spans="12:12">
      <c r="L138" s="2637"/>
    </row>
    <row r="139" spans="12:12">
      <c r="L139" s="2637"/>
    </row>
    <row r="140" spans="12:12">
      <c r="L140" s="2637"/>
    </row>
    <row r="141" spans="12:12">
      <c r="L141" s="2637"/>
    </row>
    <row r="142" spans="12:12">
      <c r="L142" s="2637"/>
    </row>
    <row r="143" spans="12:12">
      <c r="L143" s="2637"/>
    </row>
    <row r="144" spans="12:12">
      <c r="L144" s="2637"/>
    </row>
    <row r="145" spans="12:12">
      <c r="L145" s="2637"/>
    </row>
    <row r="146" spans="12:12">
      <c r="L146" s="2637"/>
    </row>
    <row r="147" spans="12:12">
      <c r="L147" s="2637"/>
    </row>
    <row r="148" spans="12:12">
      <c r="L148" s="2637"/>
    </row>
    <row r="149" spans="12:12">
      <c r="L149" s="2637"/>
    </row>
    <row r="150" spans="12:12">
      <c r="L150" s="2637"/>
    </row>
    <row r="151" spans="12:12">
      <c r="L151" s="2637"/>
    </row>
    <row r="152" spans="12:12">
      <c r="L152" s="2637"/>
    </row>
    <row r="153" spans="12:12">
      <c r="L153" s="2637"/>
    </row>
    <row r="154" spans="12:12">
      <c r="L154" s="2637"/>
    </row>
    <row r="155" spans="12:12">
      <c r="L155" s="2637"/>
    </row>
    <row r="156" spans="12:12">
      <c r="L156" s="2637"/>
    </row>
    <row r="157" spans="12:12">
      <c r="L157" s="2637"/>
    </row>
    <row r="158" spans="12:12">
      <c r="L158" s="2637"/>
    </row>
    <row r="159" spans="12:12">
      <c r="L159" s="2637"/>
    </row>
    <row r="160" spans="12:12">
      <c r="L160" s="2637"/>
    </row>
    <row r="161" spans="12:12">
      <c r="L161" s="2637"/>
    </row>
    <row r="162" spans="12:12">
      <c r="L162" s="2637"/>
    </row>
    <row r="163" spans="12:12">
      <c r="L163" s="2637"/>
    </row>
    <row r="164" spans="12:12">
      <c r="L164" s="2637"/>
    </row>
    <row r="165" spans="12:12">
      <c r="L165" s="2637"/>
    </row>
    <row r="166" spans="12:12">
      <c r="L166" s="2637"/>
    </row>
    <row r="167" spans="12:12">
      <c r="L167" s="2637"/>
    </row>
    <row r="168" spans="12:12">
      <c r="L168" s="2637"/>
    </row>
    <row r="169" spans="12:12">
      <c r="L169" s="2637"/>
    </row>
    <row r="170" spans="12:12">
      <c r="L170" s="2637"/>
    </row>
    <row r="171" spans="12:12">
      <c r="L171" s="2637"/>
    </row>
    <row r="172" spans="12:12">
      <c r="L172" s="2637"/>
    </row>
    <row r="173" spans="12:12">
      <c r="L173" s="2637"/>
    </row>
    <row r="174" spans="12:12">
      <c r="L174" s="2637"/>
    </row>
    <row r="175" spans="12:12">
      <c r="L175" s="2637"/>
    </row>
    <row r="176" spans="12:12">
      <c r="L176" s="2637"/>
    </row>
    <row r="177" spans="12:12">
      <c r="L177" s="2637"/>
    </row>
    <row r="178" spans="12:12">
      <c r="L178" s="2637"/>
    </row>
    <row r="179" spans="12:12">
      <c r="L179" s="2637"/>
    </row>
    <row r="180" spans="12:12">
      <c r="L180" s="2637"/>
    </row>
    <row r="181" spans="12:12">
      <c r="L181" s="2637"/>
    </row>
    <row r="182" spans="12:12">
      <c r="L182" s="2637"/>
    </row>
    <row r="183" spans="12:12">
      <c r="L183" s="2637"/>
    </row>
    <row r="184" spans="12:12">
      <c r="L184" s="2637"/>
    </row>
    <row r="185" spans="12:12">
      <c r="L185" s="2637"/>
    </row>
    <row r="186" spans="12:12">
      <c r="L186" s="2637"/>
    </row>
    <row r="187" spans="12:12">
      <c r="L187" s="2637"/>
    </row>
    <row r="188" spans="12:12">
      <c r="L188" s="2637"/>
    </row>
    <row r="189" spans="12:12">
      <c r="L189" s="2637"/>
    </row>
    <row r="190" spans="12:12">
      <c r="L190" s="2637"/>
    </row>
    <row r="191" spans="12:12">
      <c r="L191" s="2637"/>
    </row>
    <row r="192" spans="12:12">
      <c r="L192" s="2637"/>
    </row>
    <row r="193" spans="12:12">
      <c r="L193" s="2637"/>
    </row>
    <row r="194" spans="12:12">
      <c r="L194" s="2637"/>
    </row>
    <row r="195" spans="12:12">
      <c r="L195" s="2637"/>
    </row>
    <row r="196" spans="12:12">
      <c r="L196" s="2637"/>
    </row>
    <row r="197" spans="12:12">
      <c r="L197" s="2637"/>
    </row>
    <row r="198" spans="12:12">
      <c r="L198" s="2637"/>
    </row>
    <row r="199" spans="12:12">
      <c r="L199" s="2637"/>
    </row>
    <row r="200" spans="12:12">
      <c r="L200" s="2637"/>
    </row>
    <row r="201" spans="12:12">
      <c r="L201" s="2637"/>
    </row>
    <row r="202" spans="12:12">
      <c r="L202" s="2637"/>
    </row>
    <row r="203" spans="12:12">
      <c r="L203" s="2637"/>
    </row>
    <row r="204" spans="12:12">
      <c r="L204" s="2637"/>
    </row>
    <row r="205" spans="12:12">
      <c r="L205" s="2637"/>
    </row>
    <row r="206" spans="12:12">
      <c r="L206" s="2637"/>
    </row>
    <row r="207" spans="12:12">
      <c r="L207" s="2637"/>
    </row>
    <row r="208" spans="12:12">
      <c r="L208" s="2637"/>
    </row>
    <row r="209" spans="12:12">
      <c r="L209" s="2637"/>
    </row>
    <row r="210" spans="12:12">
      <c r="L210" s="2637"/>
    </row>
    <row r="211" spans="12:12">
      <c r="L211" s="2637"/>
    </row>
    <row r="212" spans="12:12">
      <c r="L212" s="2637"/>
    </row>
    <row r="213" spans="12:12">
      <c r="L213" s="2637"/>
    </row>
    <row r="214" spans="12:12">
      <c r="L214" s="2637"/>
    </row>
    <row r="215" spans="12:12">
      <c r="L215" s="2637"/>
    </row>
    <row r="216" spans="12:12">
      <c r="L216" s="2637"/>
    </row>
    <row r="217" spans="12:12">
      <c r="L217" s="2637"/>
    </row>
    <row r="218" spans="12:12">
      <c r="L218" s="2637"/>
    </row>
    <row r="219" spans="12:12">
      <c r="L219" s="2637"/>
    </row>
    <row r="220" spans="12:12">
      <c r="L220" s="2637"/>
    </row>
    <row r="221" spans="12:12">
      <c r="L221" s="2637"/>
    </row>
    <row r="222" spans="12:12">
      <c r="L222" s="2637"/>
    </row>
    <row r="223" spans="12:12">
      <c r="L223" s="2637"/>
    </row>
    <row r="224" spans="12:12">
      <c r="L224" s="2637"/>
    </row>
    <row r="225" spans="12:12">
      <c r="L225" s="2637"/>
    </row>
    <row r="226" spans="12:12">
      <c r="L226" s="2637"/>
    </row>
    <row r="227" spans="12:12">
      <c r="L227" s="2637"/>
    </row>
    <row r="228" spans="12:12">
      <c r="L228" s="2637"/>
    </row>
    <row r="229" spans="12:12">
      <c r="L229" s="2637"/>
    </row>
    <row r="230" spans="12:12">
      <c r="L230" s="2637"/>
    </row>
    <row r="231" spans="12:12">
      <c r="L231" s="2637"/>
    </row>
    <row r="232" spans="12:12">
      <c r="L232" s="2637"/>
    </row>
    <row r="233" spans="12:12">
      <c r="L233" s="2637"/>
    </row>
    <row r="234" spans="12:12">
      <c r="L234" s="2637"/>
    </row>
    <row r="235" spans="12:12">
      <c r="L235" s="2637"/>
    </row>
    <row r="236" spans="12:12">
      <c r="L236" s="2637"/>
    </row>
    <row r="237" spans="12:12">
      <c r="L237" s="2637"/>
    </row>
    <row r="238" spans="12:12">
      <c r="L238" s="2637"/>
    </row>
    <row r="239" spans="12:12">
      <c r="L239" s="2637"/>
    </row>
    <row r="240" spans="12:12">
      <c r="L240" s="2637"/>
    </row>
    <row r="241" spans="12:12">
      <c r="L241" s="2637"/>
    </row>
    <row r="242" spans="12:12">
      <c r="L242" s="2637"/>
    </row>
    <row r="243" spans="12:12">
      <c r="L243" s="2637"/>
    </row>
    <row r="244" spans="12:12">
      <c r="L244" s="2637"/>
    </row>
    <row r="245" spans="12:12">
      <c r="L245" s="2637"/>
    </row>
    <row r="246" spans="12:12">
      <c r="L246" s="2637"/>
    </row>
    <row r="247" spans="12:12">
      <c r="L247" s="2637"/>
    </row>
    <row r="248" spans="12:12">
      <c r="L248" s="2637"/>
    </row>
    <row r="249" spans="12:12">
      <c r="L249" s="2637"/>
    </row>
    <row r="250" spans="12:12">
      <c r="L250" s="2637"/>
    </row>
    <row r="251" spans="12:12">
      <c r="L251" s="2637"/>
    </row>
    <row r="252" spans="12:12">
      <c r="L252" s="2637"/>
    </row>
    <row r="253" spans="12:12">
      <c r="L253" s="2637"/>
    </row>
    <row r="254" spans="12:12">
      <c r="L254" s="2637"/>
    </row>
    <row r="255" spans="12:12">
      <c r="L255" s="2637"/>
    </row>
    <row r="256" spans="12:12">
      <c r="L256" s="2637"/>
    </row>
    <row r="257" spans="12:12">
      <c r="L257" s="2637"/>
    </row>
    <row r="258" spans="12:12">
      <c r="L258" s="2637"/>
    </row>
    <row r="259" spans="12:12">
      <c r="L259" s="2637"/>
    </row>
    <row r="260" spans="12:12">
      <c r="L260" s="2637"/>
    </row>
    <row r="261" spans="12:12">
      <c r="L261" s="2637"/>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2:AJ43 AJ44 AI75:AI77 AI21 AI25 AI52:AI54 AI71:AI73 AI70 AI63:AI65 AI60:AI61 AI58 AI56 AI68 AI69 AI57 AI59 AI62 AI66:AI67 AI48 AI50 AI51 AI49 AI47" unlockedFormula="1"/>
    <ignoredError sqref="I47 K47" formulaRange="1"/>
    <ignoredError sqref="AI44 AI42 AI43" formula="1" unlockedFormula="1"/>
    <ignoredError sqref="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765625" defaultRowHeight="15.5"/>
  <cols>
    <col min="1" max="1" width="2.53515625" style="101" customWidth="1"/>
    <col min="2" max="2" width="15.765625" style="101" customWidth="1"/>
    <col min="3" max="3" width="25.07421875" style="101" customWidth="1"/>
    <col min="4" max="4" width="2" style="101" customWidth="1"/>
    <col min="5" max="5" width="12.53515625" style="101" customWidth="1"/>
    <col min="6" max="6" width="1.765625" style="101" customWidth="1"/>
    <col min="7" max="7" width="10.765625" style="101" customWidth="1"/>
    <col min="8" max="8" width="1.765625" style="101" customWidth="1"/>
    <col min="9" max="9" width="10.765625" style="101" customWidth="1"/>
    <col min="10" max="10" width="1.765625" style="101" customWidth="1"/>
    <col min="11" max="11" width="10" style="101" customWidth="1"/>
    <col min="12" max="12" width="1.07421875" style="101" customWidth="1"/>
    <col min="13" max="13" width="10.53515625" style="101" customWidth="1"/>
    <col min="14" max="14" width="1.765625" style="101" customWidth="1"/>
    <col min="15" max="15" width="12.4609375" style="101" customWidth="1"/>
    <col min="16" max="16" width="1.765625" style="101" customWidth="1"/>
    <col min="17" max="17" width="12.07421875" style="101" customWidth="1"/>
    <col min="18" max="18" width="1.765625" style="101" customWidth="1"/>
    <col min="19" max="19" width="12.07421875" style="101" customWidth="1"/>
    <col min="20" max="20" width="1.765625" style="101" customWidth="1"/>
    <col min="21" max="21" width="10.765625" style="101" customWidth="1"/>
    <col min="22" max="22" width="1.765625" style="101" customWidth="1"/>
    <col min="23" max="23" width="13.765625" style="101" customWidth="1"/>
    <col min="24" max="24" width="1.765625" style="101" customWidth="1"/>
    <col min="25" max="25" width="12.765625" style="101" customWidth="1"/>
    <col min="26" max="26" width="1.765625" style="101" customWidth="1"/>
    <col min="27" max="27" width="11.765625" style="101" bestFit="1" customWidth="1"/>
    <col min="28" max="28" width="1.4609375" style="101" customWidth="1"/>
    <col min="29" max="29" width="11.07421875" style="101" customWidth="1"/>
    <col min="30" max="31" width="1.765625" style="101" customWidth="1"/>
    <col min="32" max="32" width="12.765625" style="101" customWidth="1"/>
    <col min="33" max="34" width="1.07421875" style="101" customWidth="1"/>
    <col min="35" max="35" width="12.765625" style="1084" customWidth="1"/>
    <col min="36" max="37" width="1" style="101" customWidth="1"/>
    <col min="38" max="38" width="13.07421875" style="101" bestFit="1" customWidth="1"/>
    <col min="39" max="39" width="1.07421875" style="101" customWidth="1"/>
    <col min="40" max="40" width="12.07421875" style="101" customWidth="1"/>
    <col min="41" max="16384" width="8.765625" style="101"/>
  </cols>
  <sheetData>
    <row r="1" spans="1:42">
      <c r="B1" s="640" t="s">
        <v>885</v>
      </c>
    </row>
    <row r="2" spans="1:42">
      <c r="B2" s="820"/>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86"/>
      <c r="AJ3" s="316"/>
      <c r="AK3" s="316"/>
      <c r="AN3" s="390" t="s">
        <v>193</v>
      </c>
    </row>
    <row r="4" spans="1:42" ht="19.5" customHeight="1">
      <c r="A4" s="314"/>
      <c r="B4" s="320" t="s">
        <v>912</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147</v>
      </c>
      <c r="C5" s="315"/>
      <c r="D5" s="315"/>
      <c r="E5" s="315"/>
      <c r="F5" s="316"/>
      <c r="G5" s="316"/>
      <c r="H5" s="316"/>
      <c r="I5" s="316"/>
      <c r="J5" s="316"/>
      <c r="K5" s="316"/>
      <c r="L5" s="316"/>
      <c r="M5" s="316"/>
      <c r="N5" s="316"/>
      <c r="O5" s="316"/>
      <c r="P5" s="316"/>
      <c r="Q5" s="316"/>
      <c r="R5" s="316"/>
      <c r="S5" s="316" t="s">
        <v>14</v>
      </c>
      <c r="T5" s="316"/>
      <c r="U5" s="316" t="s">
        <v>14</v>
      </c>
      <c r="V5" s="316"/>
      <c r="W5" s="316"/>
      <c r="X5" s="316"/>
      <c r="Y5" s="316"/>
      <c r="Z5" s="316"/>
      <c r="AA5" s="316"/>
      <c r="AB5" s="316"/>
      <c r="AC5" s="316"/>
      <c r="AD5" s="316"/>
      <c r="AE5" s="316"/>
      <c r="AF5" s="316"/>
      <c r="AG5" s="316"/>
      <c r="AH5" s="316"/>
      <c r="AI5" s="1086"/>
      <c r="AJ5" s="316"/>
      <c r="AK5" s="316"/>
      <c r="AN5" s="269"/>
    </row>
    <row r="6" spans="1:42" ht="19.5" customHeight="1">
      <c r="A6" s="314"/>
      <c r="B6" s="1526" t="str">
        <f>'Cashflow Governmental'!A6</f>
        <v xml:space="preserve">FISCAL YEAR 2021-2022   </v>
      </c>
      <c r="C6" s="315"/>
      <c r="D6" s="315"/>
      <c r="E6" s="315"/>
      <c r="F6" s="316"/>
      <c r="G6" s="316"/>
      <c r="H6" s="318"/>
      <c r="I6" s="316"/>
      <c r="J6" s="316"/>
      <c r="K6" s="316"/>
      <c r="L6" s="316"/>
      <c r="M6" s="316"/>
      <c r="N6" s="316"/>
      <c r="O6" s="316"/>
      <c r="P6" s="316"/>
      <c r="Q6" s="316"/>
      <c r="R6" s="316"/>
      <c r="S6" s="316" t="s">
        <v>14</v>
      </c>
      <c r="T6" s="316"/>
      <c r="U6" s="316"/>
      <c r="V6" s="316"/>
      <c r="W6" s="316"/>
      <c r="X6" s="316"/>
      <c r="Y6" s="316"/>
      <c r="Z6" s="316"/>
      <c r="AA6" s="316"/>
      <c r="AB6" s="316"/>
      <c r="AC6" s="316"/>
      <c r="AD6" s="316"/>
      <c r="AE6" s="316"/>
      <c r="AF6" s="316"/>
      <c r="AG6" s="319"/>
      <c r="AH6" s="319"/>
      <c r="AI6" s="1091"/>
      <c r="AJ6" s="319"/>
      <c r="AK6" s="319"/>
    </row>
    <row r="7" spans="1:42" ht="19.5" customHeight="1">
      <c r="A7" s="314"/>
      <c r="B7" s="320" t="s">
        <v>1284</v>
      </c>
      <c r="C7" s="315"/>
      <c r="D7" s="315"/>
      <c r="E7" s="315"/>
      <c r="F7" s="316"/>
      <c r="G7" s="316"/>
      <c r="H7" s="318"/>
      <c r="I7" s="316"/>
      <c r="J7" s="316"/>
      <c r="K7" s="316"/>
      <c r="L7" s="316"/>
      <c r="M7" s="316"/>
      <c r="N7" s="316"/>
      <c r="O7" s="316"/>
      <c r="P7" s="316"/>
      <c r="Q7" s="316"/>
      <c r="R7" s="316"/>
      <c r="S7" s="316" t="s">
        <v>14</v>
      </c>
      <c r="T7" s="316"/>
      <c r="U7" s="316"/>
      <c r="V7" s="316"/>
      <c r="W7" s="316"/>
      <c r="X7" s="316"/>
      <c r="Y7" s="316"/>
      <c r="Z7" s="316"/>
      <c r="AA7" s="316"/>
      <c r="AB7" s="316"/>
      <c r="AC7" s="316"/>
      <c r="AD7" s="316"/>
      <c r="AE7" s="316"/>
      <c r="AF7" s="316"/>
      <c r="AG7" s="319"/>
      <c r="AH7" s="319"/>
      <c r="AI7" s="1091"/>
      <c r="AJ7" s="319"/>
      <c r="AK7" s="319"/>
    </row>
    <row r="8" spans="1:42" ht="19.5" customHeight="1">
      <c r="A8" s="314"/>
      <c r="C8" s="315"/>
      <c r="D8" s="315"/>
      <c r="E8" s="315"/>
      <c r="F8" s="316"/>
      <c r="G8" s="316"/>
      <c r="H8" s="316"/>
      <c r="I8" s="316"/>
      <c r="J8" s="316"/>
      <c r="K8" s="316"/>
      <c r="L8" s="316"/>
      <c r="M8" s="316"/>
      <c r="N8" s="316"/>
      <c r="O8" s="316"/>
      <c r="P8" s="316"/>
      <c r="Q8" s="316"/>
      <c r="R8" s="316"/>
      <c r="S8" s="316" t="s">
        <v>14</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0"/>
      <c r="F11" s="751"/>
      <c r="G11" s="751"/>
      <c r="H11" s="751"/>
      <c r="I11" s="751"/>
      <c r="J11" s="751"/>
      <c r="K11" s="751"/>
      <c r="L11" s="751"/>
      <c r="M11" s="751"/>
      <c r="N11" s="751"/>
      <c r="O11" s="751"/>
      <c r="P11" s="751"/>
      <c r="Q11" s="751"/>
      <c r="R11" s="751"/>
      <c r="S11" s="751"/>
      <c r="T11" s="751"/>
      <c r="U11" s="751"/>
      <c r="V11" s="751"/>
      <c r="W11" s="751"/>
      <c r="X11" s="751"/>
      <c r="Y11" s="751"/>
      <c r="Z11" s="751"/>
      <c r="AA11" s="751"/>
      <c r="AB11" s="751"/>
      <c r="AC11" s="748" t="s">
        <v>1178</v>
      </c>
      <c r="AD11" s="751"/>
      <c r="AE11" s="752"/>
      <c r="AF11" s="3939" t="s">
        <v>1422</v>
      </c>
      <c r="AG11" s="3940"/>
      <c r="AH11" s="3940"/>
      <c r="AI11" s="3940"/>
      <c r="AJ11" s="3940"/>
      <c r="AK11" s="3940"/>
      <c r="AL11" s="3940"/>
      <c r="AM11" s="3940"/>
      <c r="AN11" s="3940"/>
    </row>
    <row r="12" spans="1:42" ht="15.75" customHeight="1">
      <c r="A12" s="323"/>
      <c r="B12" s="323"/>
      <c r="C12" s="323"/>
      <c r="D12" s="323"/>
      <c r="E12" s="740" t="str">
        <f>'Cashflow Governmental'!C13</f>
        <v>2021</v>
      </c>
      <c r="F12" s="753"/>
      <c r="G12" s="753"/>
      <c r="H12" s="753"/>
      <c r="I12" s="753"/>
      <c r="J12" s="753"/>
      <c r="K12" s="753"/>
      <c r="L12" s="753"/>
      <c r="M12" s="753"/>
      <c r="N12" s="753"/>
      <c r="O12" s="753"/>
      <c r="P12" s="753"/>
      <c r="Q12" s="753"/>
      <c r="R12" s="753"/>
      <c r="S12" s="753"/>
      <c r="T12" s="753"/>
      <c r="U12" s="753"/>
      <c r="V12" s="753"/>
      <c r="W12" s="740">
        <f>'Cashflow Governmental'!U13</f>
        <v>2022</v>
      </c>
      <c r="X12" s="753"/>
      <c r="Y12" s="753"/>
      <c r="Z12" s="753"/>
      <c r="AA12" s="753"/>
      <c r="AB12" s="753"/>
      <c r="AC12" s="748" t="s">
        <v>1179</v>
      </c>
      <c r="AD12" s="753"/>
      <c r="AE12" s="753"/>
      <c r="AF12" s="754"/>
      <c r="AG12" s="754"/>
      <c r="AH12" s="754"/>
      <c r="AI12" s="1093"/>
      <c r="AJ12" s="754"/>
      <c r="AK12" s="754"/>
      <c r="AL12" s="744" t="s">
        <v>7</v>
      </c>
      <c r="AM12" s="744"/>
      <c r="AN12" s="741" t="s">
        <v>8</v>
      </c>
      <c r="AO12" s="757"/>
    </row>
    <row r="13" spans="1:42" ht="15.75" customHeight="1">
      <c r="A13" s="31"/>
      <c r="B13" s="31"/>
      <c r="C13" s="31"/>
      <c r="D13" s="31"/>
      <c r="E13" s="1112" t="s">
        <v>123</v>
      </c>
      <c r="F13" s="254"/>
      <c r="G13" s="1112" t="s">
        <v>124</v>
      </c>
      <c r="H13" s="254"/>
      <c r="I13" s="1112" t="s">
        <v>125</v>
      </c>
      <c r="J13" s="254"/>
      <c r="K13" s="1112" t="s">
        <v>126</v>
      </c>
      <c r="L13" s="254"/>
      <c r="M13" s="1926" t="s">
        <v>127</v>
      </c>
      <c r="N13" s="254"/>
      <c r="O13" s="1112" t="s">
        <v>142</v>
      </c>
      <c r="P13" s="254"/>
      <c r="Q13" s="1112" t="s">
        <v>143</v>
      </c>
      <c r="R13" s="254"/>
      <c r="S13" s="1112" t="s">
        <v>130</v>
      </c>
      <c r="T13" s="254"/>
      <c r="U13" s="1112" t="s">
        <v>131</v>
      </c>
      <c r="V13" s="254"/>
      <c r="W13" s="1112" t="s">
        <v>132</v>
      </c>
      <c r="X13" s="254"/>
      <c r="Y13" s="1112" t="s">
        <v>133</v>
      </c>
      <c r="Z13" s="254"/>
      <c r="AA13" s="1112" t="s">
        <v>184</v>
      </c>
      <c r="AB13" s="748"/>
      <c r="AC13" s="1942" t="s">
        <v>1180</v>
      </c>
      <c r="AD13" s="254"/>
      <c r="AE13" s="254"/>
      <c r="AF13" s="1112">
        <f>'Cashflow Governmental'!AB14</f>
        <v>2021</v>
      </c>
      <c r="AG13" s="254"/>
      <c r="AH13" s="254"/>
      <c r="AI13" s="755">
        <f>'Cashflow Governmental'!AE14</f>
        <v>2020</v>
      </c>
      <c r="AJ13" s="756"/>
      <c r="AK13" s="756"/>
      <c r="AL13" s="749" t="s">
        <v>11</v>
      </c>
      <c r="AM13" s="743"/>
      <c r="AN13" s="749" t="s">
        <v>12</v>
      </c>
      <c r="AO13" s="1114"/>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1141</v>
      </c>
      <c r="C15" s="29"/>
      <c r="D15" s="31"/>
      <c r="E15" s="306">
        <f>'Exhibit I State'!E14+'Exhibit I Federal'!E14</f>
        <v>-1144</v>
      </c>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5"/>
      <c r="AF15" s="135">
        <f>E15</f>
        <v>-1144</v>
      </c>
      <c r="AG15" s="218"/>
      <c r="AH15" s="219"/>
      <c r="AI15" s="3447">
        <f>'Exhibit I State'!AG14+'Exhibit I Federal'!AG14</f>
        <v>-1034.9000000000001</v>
      </c>
      <c r="AJ15" s="94"/>
      <c r="AK15" s="327"/>
      <c r="AL15" s="326">
        <f>+AF15-AI15</f>
        <v>-109.09999999999991</v>
      </c>
      <c r="AM15" s="328"/>
      <c r="AN15" s="1424">
        <f>ROUND(IF(AI15=0,0,-AL15/(AI15)),3)</f>
        <v>-0.105</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194</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997</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58"/>
      <c r="AH18" s="59"/>
      <c r="AI18" s="140"/>
      <c r="AJ18" s="165"/>
      <c r="AK18" s="324"/>
      <c r="AL18" s="325"/>
      <c r="AM18" s="325"/>
      <c r="AN18" s="325"/>
    </row>
    <row r="19" spans="1:46">
      <c r="A19" s="31"/>
      <c r="B19" s="1045" t="s">
        <v>1059</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58"/>
      <c r="AH19" s="59"/>
      <c r="AI19" s="140"/>
      <c r="AJ19" s="165"/>
      <c r="AK19" s="324"/>
      <c r="AL19" s="325"/>
      <c r="AM19" s="325"/>
      <c r="AN19" s="325"/>
    </row>
    <row r="20" spans="1:46">
      <c r="A20" s="31"/>
      <c r="B20" s="666" t="s">
        <v>1013</v>
      </c>
      <c r="C20" s="31"/>
      <c r="D20" s="31"/>
      <c r="E20" s="1359">
        <f>+'Exhibit I State'!E19</f>
        <v>2.1</v>
      </c>
      <c r="F20" s="1414"/>
      <c r="G20" s="1359"/>
      <c r="H20" s="1414"/>
      <c r="I20" s="1359"/>
      <c r="J20" s="1436"/>
      <c r="K20" s="1359"/>
      <c r="L20" s="1452"/>
      <c r="M20" s="1359"/>
      <c r="N20" s="1452"/>
      <c r="O20" s="1359"/>
      <c r="P20" s="302"/>
      <c r="Q20" s="1359"/>
      <c r="R20" s="302"/>
      <c r="S20" s="1359"/>
      <c r="T20" s="302"/>
      <c r="U20" s="1359"/>
      <c r="V20" s="302"/>
      <c r="W20" s="1359"/>
      <c r="X20" s="302"/>
      <c r="Y20" s="1359"/>
      <c r="Z20" s="302"/>
      <c r="AA20" s="1359"/>
      <c r="AB20" s="1359"/>
      <c r="AC20" s="1359">
        <v>0</v>
      </c>
      <c r="AD20" s="1046"/>
      <c r="AE20" s="302"/>
      <c r="AF20" s="118">
        <f>ROUND(SUM(E20:AC20),1)</f>
        <v>2.1</v>
      </c>
      <c r="AG20" s="1047"/>
      <c r="AH20" s="303"/>
      <c r="AI20" s="3448">
        <f>+'Exhibit I State'!AG19</f>
        <v>0.6</v>
      </c>
      <c r="AJ20" s="304"/>
      <c r="AK20" s="308"/>
      <c r="AL20" s="311">
        <f>ROUND(SUM(AF20-AI20),1)</f>
        <v>1.5</v>
      </c>
      <c r="AM20" s="305"/>
      <c r="AN20" s="1472">
        <f>ROUND(IF(AI20=0,0,AL20/ABS(AI20)),3)</f>
        <v>2.5</v>
      </c>
      <c r="AO20" s="546"/>
    </row>
    <row r="21" spans="1:46">
      <c r="A21" s="31"/>
      <c r="B21" s="666" t="s">
        <v>1015</v>
      </c>
      <c r="C21" s="31"/>
      <c r="D21" s="31"/>
      <c r="E21" s="1359">
        <f>+'Exhibit I State'!E20</f>
        <v>26.9</v>
      </c>
      <c r="F21" s="1414"/>
      <c r="G21" s="1359"/>
      <c r="H21" s="1414"/>
      <c r="I21" s="1359"/>
      <c r="J21" s="1436"/>
      <c r="K21" s="1359"/>
      <c r="L21" s="1452"/>
      <c r="M21" s="1359"/>
      <c r="N21" s="1452"/>
      <c r="O21" s="1359"/>
      <c r="P21" s="302"/>
      <c r="Q21" s="1359"/>
      <c r="R21" s="302"/>
      <c r="S21" s="1359"/>
      <c r="T21" s="302"/>
      <c r="U21" s="1359"/>
      <c r="V21" s="302"/>
      <c r="W21" s="1359"/>
      <c r="X21" s="302"/>
      <c r="Y21" s="1359"/>
      <c r="Z21" s="302"/>
      <c r="AA21" s="1359"/>
      <c r="AB21" s="1359"/>
      <c r="AC21" s="1359">
        <v>0</v>
      </c>
      <c r="AD21" s="1046"/>
      <c r="AE21" s="302"/>
      <c r="AF21" s="66">
        <f>ROUND(SUM(E21:AC21),1)</f>
        <v>26.9</v>
      </c>
      <c r="AG21" s="1047"/>
      <c r="AH21" s="303"/>
      <c r="AI21" s="3448">
        <f>+'Exhibit I State'!AG20</f>
        <v>23.799999999999997</v>
      </c>
      <c r="AJ21" s="304"/>
      <c r="AK21" s="308"/>
      <c r="AL21" s="311">
        <f>ROUND(SUM(AF21-AI21),1)</f>
        <v>3.1</v>
      </c>
      <c r="AM21" s="305"/>
      <c r="AN21" s="8">
        <f>ROUND(IF(AI21=0,0,AL21/ABS(AI21)),3)</f>
        <v>0.13</v>
      </c>
      <c r="AO21" s="546"/>
    </row>
    <row r="22" spans="1:46">
      <c r="A22" s="31"/>
      <c r="B22" s="666" t="s">
        <v>1017</v>
      </c>
      <c r="C22" s="31"/>
      <c r="D22" s="31"/>
      <c r="E22" s="1359">
        <f>+'Exhibit I State'!E21</f>
        <v>14.5</v>
      </c>
      <c r="F22" s="1414"/>
      <c r="G22" s="1359"/>
      <c r="H22" s="1414"/>
      <c r="I22" s="1359"/>
      <c r="J22" s="1436"/>
      <c r="K22" s="1359"/>
      <c r="L22" s="1452"/>
      <c r="M22" s="1359"/>
      <c r="N22" s="1452"/>
      <c r="O22" s="1359"/>
      <c r="P22" s="302"/>
      <c r="Q22" s="1359"/>
      <c r="R22" s="302"/>
      <c r="S22" s="1359"/>
      <c r="T22" s="302"/>
      <c r="U22" s="1359"/>
      <c r="V22" s="302"/>
      <c r="W22" s="1359"/>
      <c r="X22" s="302"/>
      <c r="Y22" s="1359"/>
      <c r="Z22" s="302"/>
      <c r="AA22" s="1359"/>
      <c r="AB22" s="1359"/>
      <c r="AC22" s="1359">
        <v>0</v>
      </c>
      <c r="AD22" s="1046"/>
      <c r="AE22" s="302"/>
      <c r="AF22" s="66">
        <f>ROUND(SUM(E22:AC22),1)</f>
        <v>14.5</v>
      </c>
      <c r="AG22" s="1047"/>
      <c r="AH22" s="303"/>
      <c r="AI22" s="3448">
        <f>+'Exhibit I State'!AG21</f>
        <v>11.6</v>
      </c>
      <c r="AJ22" s="304"/>
      <c r="AK22" s="308"/>
      <c r="AL22" s="311">
        <f>ROUND(SUM(AF22-AI22),1)</f>
        <v>2.9</v>
      </c>
      <c r="AM22" s="305"/>
      <c r="AN22" s="1458">
        <f>ROUND(IF(AI22=0,0,AL22/ABS(AI22)),3)</f>
        <v>0.25</v>
      </c>
      <c r="AO22" s="546"/>
    </row>
    <row r="23" spans="1:46">
      <c r="A23" s="31"/>
      <c r="B23" s="310" t="s">
        <v>1100</v>
      </c>
      <c r="C23" s="31"/>
      <c r="D23" s="31"/>
      <c r="E23" s="1453">
        <f>ROUND(SUM(E20:E22),1)</f>
        <v>43.5</v>
      </c>
      <c r="F23" s="1454"/>
      <c r="G23" s="1453">
        <f>ROUND(SUM(G20:G22),1)</f>
        <v>0</v>
      </c>
      <c r="H23" s="1454"/>
      <c r="I23" s="1453">
        <f>ROUND(SUM(I20:I22),1)</f>
        <v>0</v>
      </c>
      <c r="J23" s="1454"/>
      <c r="K23" s="1453">
        <f>ROUND(SUM(K20:K22),1)</f>
        <v>0</v>
      </c>
      <c r="L23" s="1452"/>
      <c r="M23" s="1453">
        <f>ROUND(SUM(M20:M22),1)</f>
        <v>0</v>
      </c>
      <c r="N23" s="1452"/>
      <c r="O23" s="1453">
        <f>ROUND(SUM(O20:O22),1)</f>
        <v>0</v>
      </c>
      <c r="P23" s="302"/>
      <c r="Q23" s="1453">
        <f>ROUND(SUM(Q20:Q22),1)</f>
        <v>0</v>
      </c>
      <c r="R23" s="302"/>
      <c r="S23" s="1453">
        <f>ROUND(SUM(S20:S22),1)</f>
        <v>0</v>
      </c>
      <c r="T23" s="302"/>
      <c r="U23" s="1453">
        <f>ROUND(SUM(U20:U22),1)</f>
        <v>0</v>
      </c>
      <c r="V23" s="302"/>
      <c r="W23" s="1453">
        <f>ROUND(SUM(W20:W22),1)</f>
        <v>0</v>
      </c>
      <c r="X23" s="302"/>
      <c r="Y23" s="1453">
        <f>ROUND(SUM(Y20:Y22),1)</f>
        <v>0</v>
      </c>
      <c r="Z23" s="302"/>
      <c r="AA23" s="1453">
        <f>ROUND(SUM(AA20:AA22),1)</f>
        <v>0</v>
      </c>
      <c r="AB23" s="1455"/>
      <c r="AC23" s="1453">
        <f>ROUND(SUM(AC20:AC22),1)</f>
        <v>0</v>
      </c>
      <c r="AD23" s="1046"/>
      <c r="AE23" s="302"/>
      <c r="AF23" s="258">
        <f>ROUND(SUM(AF20:AF22),1)</f>
        <v>43.5</v>
      </c>
      <c r="AG23" s="1047"/>
      <c r="AH23" s="303"/>
      <c r="AI23" s="1531">
        <f>ROUND(SUM(AI20:AI22),1)</f>
        <v>36</v>
      </c>
      <c r="AJ23" s="304"/>
      <c r="AK23" s="308"/>
      <c r="AL23" s="1113">
        <f>ROUND(SUM(AF23-AI23),1)</f>
        <v>7.5</v>
      </c>
      <c r="AM23" s="307"/>
      <c r="AN23" s="13">
        <f>ROUND(IF(AI23=0,0,AL23/ABS(AI23)),3)</f>
        <v>0.20799999999999999</v>
      </c>
      <c r="AO23" s="546"/>
    </row>
    <row r="24" spans="1:46">
      <c r="A24" s="31"/>
      <c r="B24" s="1045" t="s">
        <v>1060</v>
      </c>
      <c r="C24" s="31"/>
      <c r="D24" s="31"/>
      <c r="E24" s="1455"/>
      <c r="F24" s="1454"/>
      <c r="G24" s="1455"/>
      <c r="H24" s="1454"/>
      <c r="I24" s="1455"/>
      <c r="J24" s="1454"/>
      <c r="K24" s="1455"/>
      <c r="L24" s="1452"/>
      <c r="M24" s="1455"/>
      <c r="N24" s="1452"/>
      <c r="O24" s="1455"/>
      <c r="P24" s="302"/>
      <c r="Q24" s="1455"/>
      <c r="R24" s="302"/>
      <c r="S24" s="1455"/>
      <c r="T24" s="302"/>
      <c r="U24" s="1455"/>
      <c r="V24" s="302"/>
      <c r="W24" s="1455"/>
      <c r="X24" s="302"/>
      <c r="Y24" s="1455"/>
      <c r="Z24" s="302"/>
      <c r="AA24" s="1455"/>
      <c r="AB24" s="1455"/>
      <c r="AC24" s="1455"/>
      <c r="AD24" s="1046"/>
      <c r="AE24" s="302"/>
      <c r="AF24" s="76"/>
      <c r="AG24" s="1047"/>
      <c r="AH24" s="303"/>
      <c r="AI24" s="115"/>
      <c r="AJ24" s="304"/>
      <c r="AK24" s="308"/>
      <c r="AL24" s="1049"/>
      <c r="AM24" s="307"/>
      <c r="AN24" s="24"/>
      <c r="AO24" s="546"/>
    </row>
    <row r="25" spans="1:46">
      <c r="A25" s="31"/>
      <c r="B25" s="666" t="s">
        <v>1019</v>
      </c>
      <c r="C25" s="31"/>
      <c r="D25" s="31"/>
      <c r="E25" s="1359">
        <f>+'Exhibit I State'!E24</f>
        <v>0</v>
      </c>
      <c r="F25" s="1454"/>
      <c r="G25" s="1359"/>
      <c r="H25" s="1454"/>
      <c r="I25" s="1359"/>
      <c r="J25" s="1454"/>
      <c r="K25" s="1359"/>
      <c r="L25" s="1452"/>
      <c r="M25" s="1359"/>
      <c r="N25" s="1452"/>
      <c r="O25" s="1359"/>
      <c r="P25" s="302"/>
      <c r="Q25" s="1359"/>
      <c r="R25" s="302"/>
      <c r="S25" s="1359"/>
      <c r="T25" s="302"/>
      <c r="U25" s="1359"/>
      <c r="V25" s="302"/>
      <c r="W25" s="1359"/>
      <c r="X25" s="302"/>
      <c r="Y25" s="1359"/>
      <c r="Z25" s="302"/>
      <c r="AA25" s="1359"/>
      <c r="AB25" s="1359"/>
      <c r="AC25" s="1359">
        <v>0</v>
      </c>
      <c r="AD25" s="1046"/>
      <c r="AE25" s="302"/>
      <c r="AF25" s="937">
        <v>0</v>
      </c>
      <c r="AG25" s="1047"/>
      <c r="AH25" s="303"/>
      <c r="AI25" s="3448">
        <f>+'Exhibit I State'!AG24</f>
        <v>0</v>
      </c>
      <c r="AJ25" s="304"/>
      <c r="AK25" s="308"/>
      <c r="AL25" s="311">
        <f>ROUND(SUM(AF25-AI25),1)</f>
        <v>0</v>
      </c>
      <c r="AM25" s="305"/>
      <c r="AN25" s="1451">
        <f>ROUND(IF(AI25=0,0,AL25/ABS(AI25)),3)</f>
        <v>0</v>
      </c>
      <c r="AO25" s="546"/>
      <c r="AP25" s="300"/>
      <c r="AQ25" s="300"/>
      <c r="AR25" s="300"/>
      <c r="AS25" s="300"/>
      <c r="AT25" s="300"/>
    </row>
    <row r="26" spans="1:46">
      <c r="A26" s="31"/>
      <c r="B26" s="666" t="s">
        <v>1020</v>
      </c>
      <c r="C26" s="31"/>
      <c r="D26" s="31"/>
      <c r="E26" s="1359">
        <f>+'Exhibit I State'!E25</f>
        <v>3.1</v>
      </c>
      <c r="F26" s="1414"/>
      <c r="G26" s="1359"/>
      <c r="H26" s="1414"/>
      <c r="I26" s="1359"/>
      <c r="J26" s="1454"/>
      <c r="K26" s="1359"/>
      <c r="L26" s="1452"/>
      <c r="M26" s="1359"/>
      <c r="N26" s="1452"/>
      <c r="O26" s="1359"/>
      <c r="P26" s="302"/>
      <c r="Q26" s="1359"/>
      <c r="R26" s="302"/>
      <c r="S26" s="1359"/>
      <c r="T26" s="302"/>
      <c r="U26" s="1359"/>
      <c r="V26" s="302"/>
      <c r="W26" s="1359"/>
      <c r="X26" s="302"/>
      <c r="Y26" s="1359"/>
      <c r="Z26" s="302"/>
      <c r="AA26" s="1359"/>
      <c r="AB26" s="1359"/>
      <c r="AC26" s="1359">
        <v>0</v>
      </c>
      <c r="AD26" s="1046"/>
      <c r="AE26" s="302"/>
      <c r="AF26" s="66">
        <f>ROUND(SUM(E26:AC26),1)</f>
        <v>3.1</v>
      </c>
      <c r="AG26" s="1047"/>
      <c r="AH26" s="303"/>
      <c r="AI26" s="3448">
        <f>+'Exhibit I State'!AG25</f>
        <v>0.1</v>
      </c>
      <c r="AJ26" s="304"/>
      <c r="AK26" s="308"/>
      <c r="AL26" s="311">
        <f>ROUND(SUM(AF26-AI26),1)</f>
        <v>3</v>
      </c>
      <c r="AM26" s="305"/>
      <c r="AN26" s="1472">
        <f>ROUND(IF(AI26=0,1,AL26/ABS(AI26)),3)</f>
        <v>30</v>
      </c>
      <c r="AO26" s="546"/>
      <c r="AP26" s="300"/>
      <c r="AQ26" s="300"/>
      <c r="AR26" s="300"/>
      <c r="AS26" s="300"/>
      <c r="AT26" s="300"/>
    </row>
    <row r="27" spans="1:46">
      <c r="A27" s="31"/>
      <c r="B27" s="666" t="s">
        <v>1023</v>
      </c>
      <c r="C27" s="31"/>
      <c r="D27" s="31"/>
      <c r="E27" s="1359">
        <f>+'Exhibit I State'!E26</f>
        <v>38.200000000000003</v>
      </c>
      <c r="F27" s="1414"/>
      <c r="G27" s="1359"/>
      <c r="H27" s="1414"/>
      <c r="I27" s="1359"/>
      <c r="J27" s="1454"/>
      <c r="K27" s="1359"/>
      <c r="L27" s="1452"/>
      <c r="M27" s="1359"/>
      <c r="N27" s="1452"/>
      <c r="O27" s="1359"/>
      <c r="P27" s="302"/>
      <c r="Q27" s="1359"/>
      <c r="R27" s="302"/>
      <c r="S27" s="1359"/>
      <c r="T27" s="302"/>
      <c r="U27" s="1359"/>
      <c r="V27" s="302"/>
      <c r="W27" s="1359"/>
      <c r="X27" s="302"/>
      <c r="Y27" s="1359"/>
      <c r="Z27" s="302"/>
      <c r="AA27" s="1359"/>
      <c r="AB27" s="1359"/>
      <c r="AC27" s="1359">
        <v>0</v>
      </c>
      <c r="AD27" s="1046"/>
      <c r="AE27" s="302"/>
      <c r="AF27" s="66">
        <f>ROUND(SUM(E27:AC27),1)</f>
        <v>38.200000000000003</v>
      </c>
      <c r="AG27" s="1047"/>
      <c r="AH27" s="303"/>
      <c r="AI27" s="3448">
        <f>+'Exhibit I State'!AG26</f>
        <v>38</v>
      </c>
      <c r="AJ27" s="304"/>
      <c r="AK27" s="308"/>
      <c r="AL27" s="311">
        <f>ROUND(SUM(AF27-AI27),1)</f>
        <v>0.2</v>
      </c>
      <c r="AM27" s="305"/>
      <c r="AN27" s="1419">
        <f>ROUND(IF(AI27=0,0,AL27/ABS(AI27)),3)</f>
        <v>5.0000000000000001E-3</v>
      </c>
      <c r="AO27" s="546"/>
      <c r="AP27" s="300"/>
      <c r="AQ27" s="300"/>
      <c r="AR27" s="300"/>
      <c r="AS27" s="300"/>
      <c r="AT27" s="300"/>
    </row>
    <row r="28" spans="1:46">
      <c r="A28" s="31"/>
      <c r="B28" s="310" t="s">
        <v>1101</v>
      </c>
      <c r="C28" s="31"/>
      <c r="D28" s="31"/>
      <c r="E28" s="1453">
        <f>ROUND(SUM(E25:E27),1)</f>
        <v>41.3</v>
      </c>
      <c r="F28" s="1414"/>
      <c r="G28" s="1453">
        <f>ROUND(SUM(G25:G27),1)</f>
        <v>0</v>
      </c>
      <c r="H28" s="1414"/>
      <c r="I28" s="1453">
        <f>ROUND(SUM(I25:I27),1)</f>
        <v>0</v>
      </c>
      <c r="J28" s="1454"/>
      <c r="K28" s="1453">
        <f>ROUND(SUM(K25:K27),1)</f>
        <v>0</v>
      </c>
      <c r="L28" s="1452"/>
      <c r="M28" s="1453">
        <f>ROUND(SUM(M25:M27),1)</f>
        <v>0</v>
      </c>
      <c r="N28" s="1452"/>
      <c r="O28" s="1453">
        <f>ROUND(SUM(O25:O27),1)</f>
        <v>0</v>
      </c>
      <c r="P28" s="302"/>
      <c r="Q28" s="1453">
        <f>ROUND(SUM(Q25:Q27),1)</f>
        <v>0</v>
      </c>
      <c r="R28" s="302"/>
      <c r="S28" s="1453">
        <f>ROUND(SUM(S25:S27),1)</f>
        <v>0</v>
      </c>
      <c r="T28" s="302"/>
      <c r="U28" s="1453">
        <f>ROUND(SUM(U25:U27),1)</f>
        <v>0</v>
      </c>
      <c r="V28" s="302"/>
      <c r="W28" s="1453">
        <f>ROUND(SUM(W25:W27),1)</f>
        <v>0</v>
      </c>
      <c r="X28" s="302"/>
      <c r="Y28" s="1453">
        <f>ROUND(SUM(Y25:Y27),1)</f>
        <v>0</v>
      </c>
      <c r="Z28" s="302"/>
      <c r="AA28" s="1453">
        <f>ROUND(SUM(AA25:AA27),1)</f>
        <v>0</v>
      </c>
      <c r="AB28" s="1455"/>
      <c r="AC28" s="1453">
        <f>ROUND(SUM(AC25:AC27),1)</f>
        <v>0</v>
      </c>
      <c r="AD28" s="1046"/>
      <c r="AE28" s="302"/>
      <c r="AF28" s="672">
        <f>ROUND(SUM(AF25:AF27),1)</f>
        <v>41.3</v>
      </c>
      <c r="AG28" s="1047"/>
      <c r="AH28" s="303"/>
      <c r="AI28" s="1531">
        <f>ROUND(SUM(AI25:AI27),1)</f>
        <v>38.1</v>
      </c>
      <c r="AJ28" s="304"/>
      <c r="AK28" s="308"/>
      <c r="AL28" s="672">
        <f>ROUND(SUM(AL25:AL27),1)</f>
        <v>3.2</v>
      </c>
      <c r="AM28" s="305"/>
      <c r="AN28" s="1448">
        <f>ROUND(IF(AI28=0,0,AL28/ABS(AI28)),3)</f>
        <v>8.4000000000000005E-2</v>
      </c>
      <c r="AO28" s="546"/>
      <c r="AP28" s="300"/>
      <c r="AQ28" s="300"/>
      <c r="AR28" s="300"/>
      <c r="AS28" s="300"/>
      <c r="AT28" s="300"/>
    </row>
    <row r="29" spans="1:46">
      <c r="A29" s="31"/>
      <c r="B29" s="1045" t="s">
        <v>1061</v>
      </c>
      <c r="C29" s="31"/>
      <c r="D29" s="31"/>
      <c r="E29" s="1834"/>
      <c r="F29" s="1834"/>
      <c r="G29" s="1834"/>
      <c r="H29" s="1834"/>
      <c r="I29" s="1834"/>
      <c r="J29" s="1834"/>
      <c r="K29" s="1834"/>
      <c r="L29" s="1456"/>
      <c r="M29" s="1456"/>
      <c r="N29" s="1456"/>
      <c r="O29" s="1456"/>
      <c r="P29" s="165"/>
      <c r="Q29" s="1456"/>
      <c r="R29" s="165"/>
      <c r="S29" s="1456"/>
      <c r="T29" s="165"/>
      <c r="U29" s="1456"/>
      <c r="V29" s="165"/>
      <c r="W29" s="1456"/>
      <c r="X29" s="165"/>
      <c r="Y29" s="1456"/>
      <c r="Z29" s="165"/>
      <c r="AA29" s="1456"/>
      <c r="AB29" s="1456"/>
      <c r="AC29" s="1456"/>
      <c r="AD29" s="165"/>
      <c r="AE29" s="252"/>
      <c r="AF29" s="165"/>
      <c r="AG29" s="1058"/>
      <c r="AH29" s="59"/>
      <c r="AI29" s="140"/>
      <c r="AJ29" s="165"/>
      <c r="AK29" s="324"/>
      <c r="AL29" s="325"/>
      <c r="AM29" s="325"/>
      <c r="AN29" s="1457"/>
    </row>
    <row r="30" spans="1:46">
      <c r="A30" s="31"/>
      <c r="B30" s="666" t="s">
        <v>1029</v>
      </c>
      <c r="C30" s="31"/>
      <c r="D30" s="31"/>
      <c r="E30" s="1359">
        <f>+'Exhibit I State'!E29</f>
        <v>0</v>
      </c>
      <c r="F30" s="1414"/>
      <c r="G30" s="1359"/>
      <c r="H30" s="1414"/>
      <c r="I30" s="1359"/>
      <c r="J30" s="1454"/>
      <c r="K30" s="1359"/>
      <c r="L30" s="1452"/>
      <c r="M30" s="1359"/>
      <c r="N30" s="1452"/>
      <c r="O30" s="1359"/>
      <c r="P30" s="302"/>
      <c r="Q30" s="1359"/>
      <c r="R30" s="302"/>
      <c r="S30" s="1359"/>
      <c r="T30" s="302"/>
      <c r="U30" s="1359"/>
      <c r="V30" s="302"/>
      <c r="W30" s="1359"/>
      <c r="X30" s="302"/>
      <c r="Y30" s="1359"/>
      <c r="Z30" s="302"/>
      <c r="AA30" s="1359"/>
      <c r="AB30" s="1359"/>
      <c r="AC30" s="1359">
        <v>0</v>
      </c>
      <c r="AD30" s="1046"/>
      <c r="AE30" s="302"/>
      <c r="AF30" s="66">
        <f>ROUND(SUM(E30:AC30),1)</f>
        <v>0</v>
      </c>
      <c r="AG30" s="1047"/>
      <c r="AH30" s="303"/>
      <c r="AI30" s="3448">
        <f>+'Exhibit I State'!AG29</f>
        <v>0</v>
      </c>
      <c r="AJ30" s="304"/>
      <c r="AK30" s="308"/>
      <c r="AL30" s="311">
        <f>ROUND(SUM(AF30-AI30),1)</f>
        <v>0</v>
      </c>
      <c r="AM30" s="305"/>
      <c r="AN30" s="1419">
        <f>ROUND(IF(AI30=0,0,AL30/ABS(AI30)),3)</f>
        <v>0</v>
      </c>
      <c r="AO30" s="546"/>
      <c r="AP30" s="300"/>
      <c r="AQ30" s="300"/>
      <c r="AR30" s="300"/>
    </row>
    <row r="31" spans="1:46">
      <c r="A31" s="31"/>
      <c r="B31" s="310" t="s">
        <v>1102</v>
      </c>
      <c r="C31" s="31"/>
      <c r="D31" s="31"/>
      <c r="E31" s="258">
        <f>ROUND(SUM(E30:E30),1)</f>
        <v>0</v>
      </c>
      <c r="F31" s="916"/>
      <c r="G31" s="258">
        <f>ROUND(SUM(G30:G30),1)</f>
        <v>0</v>
      </c>
      <c r="H31" s="916"/>
      <c r="I31" s="258">
        <f>ROUND(SUM(I30:I30),1)</f>
        <v>0</v>
      </c>
      <c r="J31" s="916"/>
      <c r="K31" s="258">
        <f>ROUND(SUM(K30:K30),1)</f>
        <v>0</v>
      </c>
      <c r="L31" s="302"/>
      <c r="M31" s="61">
        <f>ROUND(SUM(M30:M30),1)</f>
        <v>0</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24"/>
      <c r="AC31" s="61">
        <f>ROUND(SUM(AC30:AC30),1)</f>
        <v>0</v>
      </c>
      <c r="AD31" s="1046"/>
      <c r="AE31" s="302"/>
      <c r="AF31" s="61">
        <f>ROUND(SUM(AF30:AF30),1)</f>
        <v>0</v>
      </c>
      <c r="AG31" s="1047"/>
      <c r="AH31" s="303"/>
      <c r="AI31" s="3409">
        <f>ROUND(SUM(AI30:AI30),1)</f>
        <v>0</v>
      </c>
      <c r="AJ31" s="304"/>
      <c r="AK31" s="308"/>
      <c r="AL31" s="1113">
        <f>ROUND(SUM(AF31-AI31),1)</f>
        <v>0</v>
      </c>
      <c r="AM31" s="307"/>
      <c r="AN31" s="1435">
        <f>ROUND(IF(AI31=0,0,AL31/ABS(AI31)),3)</f>
        <v>0</v>
      </c>
      <c r="AO31" s="546"/>
      <c r="AP31" s="300"/>
      <c r="AQ31" s="300"/>
      <c r="AR31" s="300"/>
    </row>
    <row r="32" spans="1:46">
      <c r="A32" s="31"/>
      <c r="B32" s="310"/>
      <c r="C32" s="31"/>
      <c r="D32" s="31"/>
      <c r="E32" s="258"/>
      <c r="F32" s="916"/>
      <c r="G32" s="258"/>
      <c r="H32" s="916"/>
      <c r="I32" s="258"/>
      <c r="J32" s="916"/>
      <c r="K32" s="258"/>
      <c r="L32" s="302"/>
      <c r="M32" s="258"/>
      <c r="N32" s="302"/>
      <c r="O32" s="258"/>
      <c r="P32" s="302"/>
      <c r="Q32" s="258"/>
      <c r="R32" s="302"/>
      <c r="S32" s="258"/>
      <c r="T32" s="302"/>
      <c r="U32" s="258"/>
      <c r="V32" s="302"/>
      <c r="W32" s="258"/>
      <c r="X32" s="302"/>
      <c r="Y32" s="258"/>
      <c r="Z32" s="302"/>
      <c r="AA32" s="258"/>
      <c r="AB32" s="1524"/>
      <c r="AC32" s="258"/>
      <c r="AD32" s="1046"/>
      <c r="AE32" s="302"/>
      <c r="AF32" s="258"/>
      <c r="AG32" s="1047"/>
      <c r="AH32" s="303"/>
      <c r="AI32" s="303"/>
      <c r="AJ32" s="304"/>
      <c r="AK32" s="308"/>
      <c r="AL32" s="309"/>
      <c r="AM32" s="305"/>
      <c r="AN32" s="1447"/>
      <c r="AO32" s="546"/>
      <c r="AP32" s="300"/>
      <c r="AQ32" s="300"/>
      <c r="AR32" s="300"/>
    </row>
    <row r="33" spans="1:44">
      <c r="A33" s="31"/>
      <c r="B33" s="310" t="s">
        <v>1025</v>
      </c>
      <c r="C33" s="31"/>
      <c r="D33" s="31"/>
      <c r="E33" s="1835">
        <f>ROUND(SUM(E11+E28+E23+E31),1)</f>
        <v>84.8</v>
      </c>
      <c r="F33" s="1523"/>
      <c r="G33" s="1835">
        <f>ROUND(SUM(G11+G28+G23+G31),1)</f>
        <v>0</v>
      </c>
      <c r="H33" s="1523"/>
      <c r="I33" s="1835">
        <f>ROUND(SUM(I11+I28+I23+I31),1)</f>
        <v>0</v>
      </c>
      <c r="J33" s="1523"/>
      <c r="K33" s="1835">
        <f>ROUND(SUM(K11+K28+K23+K31),1)</f>
        <v>0</v>
      </c>
      <c r="L33" s="302"/>
      <c r="M33" s="1048">
        <f>ROUND(SUM(M11+M28+M23+M31),1)</f>
        <v>0</v>
      </c>
      <c r="N33" s="302"/>
      <c r="O33" s="1048">
        <f>ROUND(SUM(O11+O28+O23+O31),1)</f>
        <v>0</v>
      </c>
      <c r="P33" s="302"/>
      <c r="Q33" s="1048">
        <f>ROUND(SUM(Q11+Q28+Q23+Q31),1)</f>
        <v>0</v>
      </c>
      <c r="R33" s="302"/>
      <c r="S33" s="1048">
        <f>ROUND(SUM(S11+S28+S23+S31),1)</f>
        <v>0</v>
      </c>
      <c r="T33" s="302"/>
      <c r="U33" s="1048">
        <f>ROUND(SUM(U11+U28+U23+U31),1)</f>
        <v>0</v>
      </c>
      <c r="V33" s="302"/>
      <c r="W33" s="1048">
        <f>ROUND(SUM(W11+W28+W23+W31),1)</f>
        <v>0</v>
      </c>
      <c r="X33" s="302"/>
      <c r="Y33" s="1048">
        <f>ROUND(SUM(Y11+Y28+Y23+Y31),1)</f>
        <v>0</v>
      </c>
      <c r="Z33" s="302"/>
      <c r="AA33" s="1048">
        <f>ROUND(SUM(AA11+AA28+AA23+AA31),1)</f>
        <v>0</v>
      </c>
      <c r="AB33" s="1050"/>
      <c r="AC33" s="1048">
        <f>ROUND(SUM(AC15+AC28+AC23+AC31),1)</f>
        <v>0</v>
      </c>
      <c r="AD33" s="1046"/>
      <c r="AE33" s="302"/>
      <c r="AF33" s="1048">
        <f>ROUND(SUM(AF28+AF23+AF31),1)</f>
        <v>84.8</v>
      </c>
      <c r="AG33" s="1047"/>
      <c r="AH33" s="303"/>
      <c r="AI33" s="1048">
        <f>ROUND(SUM(AI28+AI23+AI31),1)</f>
        <v>74.099999999999994</v>
      </c>
      <c r="AJ33" s="304"/>
      <c r="AK33" s="308"/>
      <c r="AL33" s="1113">
        <f>ROUND(SUM(AF33-AI33),1)</f>
        <v>10.7</v>
      </c>
      <c r="AM33" s="307"/>
      <c r="AN33" s="1435">
        <f>ROUND(IF(AI33=0,0,AL33/ABS(AI33)),3)</f>
        <v>0.14399999999999999</v>
      </c>
      <c r="AO33" s="546"/>
      <c r="AP33" s="300"/>
      <c r="AQ33" s="300"/>
      <c r="AR33" s="300"/>
    </row>
    <row r="34" spans="1:44">
      <c r="A34" s="31"/>
      <c r="B34" s="310"/>
      <c r="C34" s="31"/>
      <c r="D34" s="31"/>
      <c r="E34" s="1836"/>
      <c r="F34" s="1523"/>
      <c r="G34" s="1836"/>
      <c r="H34" s="1523"/>
      <c r="I34" s="1836"/>
      <c r="J34" s="1523"/>
      <c r="K34" s="1836"/>
      <c r="L34" s="302"/>
      <c r="M34" s="1050"/>
      <c r="N34" s="302"/>
      <c r="O34" s="1050"/>
      <c r="P34" s="302"/>
      <c r="Q34" s="1050"/>
      <c r="R34" s="302"/>
      <c r="S34" s="1050"/>
      <c r="T34" s="302"/>
      <c r="U34" s="1050"/>
      <c r="V34" s="302"/>
      <c r="W34" s="1050"/>
      <c r="X34" s="302"/>
      <c r="Y34" s="1050"/>
      <c r="Z34" s="302"/>
      <c r="AA34" s="1050"/>
      <c r="AB34" s="1050"/>
      <c r="AC34" s="1050"/>
      <c r="AD34" s="1372"/>
      <c r="AE34" s="302"/>
      <c r="AF34" s="1050"/>
      <c r="AG34" s="1047"/>
      <c r="AH34" s="303"/>
      <c r="AI34" s="1050"/>
      <c r="AJ34" s="304"/>
      <c r="AK34" s="308"/>
      <c r="AL34" s="1049"/>
      <c r="AM34" s="307"/>
      <c r="AN34" s="1424"/>
      <c r="AO34" s="546"/>
      <c r="AP34" s="300"/>
      <c r="AQ34" s="300"/>
      <c r="AR34" s="300"/>
    </row>
    <row r="35" spans="1:44">
      <c r="A35" s="31"/>
      <c r="B35" s="261" t="s">
        <v>933</v>
      </c>
      <c r="C35" s="31"/>
      <c r="D35" s="31"/>
      <c r="E35" s="655"/>
      <c r="F35" s="1523"/>
      <c r="G35" s="655"/>
      <c r="H35" s="1523"/>
      <c r="I35" s="655"/>
      <c r="J35" s="1523"/>
      <c r="K35" s="655"/>
      <c r="L35" s="66"/>
      <c r="M35" s="170"/>
      <c r="N35" s="66"/>
      <c r="O35" s="170"/>
      <c r="P35" s="66"/>
      <c r="Q35" s="170"/>
      <c r="R35" s="66"/>
      <c r="S35" s="170"/>
      <c r="T35" s="66"/>
      <c r="U35" s="170"/>
      <c r="V35" s="66"/>
      <c r="W35" s="170"/>
      <c r="X35" s="66"/>
      <c r="Y35" s="170"/>
      <c r="Z35" s="66"/>
      <c r="AA35" s="170"/>
      <c r="AB35" s="170"/>
      <c r="AC35" s="170"/>
      <c r="AD35" s="66"/>
      <c r="AE35" s="57"/>
      <c r="AF35" s="277"/>
      <c r="AG35" s="971"/>
      <c r="AH35" s="60"/>
      <c r="AI35" s="3449"/>
      <c r="AJ35" s="77"/>
      <c r="AK35" s="333"/>
      <c r="AL35" s="58"/>
      <c r="AM35" s="331"/>
      <c r="AN35" s="1419"/>
      <c r="AO35" s="325"/>
    </row>
    <row r="36" spans="1:44">
      <c r="A36" s="31"/>
      <c r="B36" s="886" t="s">
        <v>1052</v>
      </c>
      <c r="C36" s="31"/>
      <c r="D36" s="31"/>
      <c r="E36" s="655"/>
      <c r="F36" s="1523"/>
      <c r="G36" s="655"/>
      <c r="H36" s="1523"/>
      <c r="I36" s="655"/>
      <c r="J36" s="1523"/>
      <c r="K36" s="655"/>
      <c r="L36" s="66"/>
      <c r="M36" s="170"/>
      <c r="N36" s="66"/>
      <c r="O36" s="170"/>
      <c r="P36" s="66"/>
      <c r="Q36" s="170"/>
      <c r="R36" s="66"/>
      <c r="S36" s="170"/>
      <c r="T36" s="66"/>
      <c r="U36" s="170"/>
      <c r="V36" s="66"/>
      <c r="W36" s="170"/>
      <c r="X36" s="66"/>
      <c r="Y36" s="170"/>
      <c r="Z36" s="66"/>
      <c r="AA36" s="170"/>
      <c r="AB36" s="170"/>
      <c r="AC36" s="170"/>
      <c r="AD36" s="66"/>
      <c r="AE36" s="57"/>
      <c r="AF36" s="277"/>
      <c r="AG36" s="971"/>
      <c r="AH36" s="60"/>
      <c r="AI36" s="3449"/>
      <c r="AJ36" s="77"/>
      <c r="AK36" s="333"/>
      <c r="AL36" s="58"/>
      <c r="AM36" s="331"/>
      <c r="AN36" s="1419"/>
      <c r="AO36" s="325"/>
    </row>
    <row r="37" spans="1:44">
      <c r="A37" s="31"/>
      <c r="B37" s="886" t="s">
        <v>967</v>
      </c>
      <c r="C37" s="31"/>
      <c r="D37" s="31"/>
      <c r="E37" s="655">
        <f>+'Exhibit I State'!E36+'Exhibit I Federal'!E19</f>
        <v>0</v>
      </c>
      <c r="F37" s="1523"/>
      <c r="G37" s="655"/>
      <c r="H37" s="1523"/>
      <c r="I37" s="655"/>
      <c r="J37" s="1523"/>
      <c r="K37" s="655"/>
      <c r="L37" s="66"/>
      <c r="M37" s="655"/>
      <c r="N37" s="66"/>
      <c r="O37" s="655"/>
      <c r="P37" s="66"/>
      <c r="Q37" s="655"/>
      <c r="R37" s="66"/>
      <c r="S37" s="655"/>
      <c r="T37" s="66"/>
      <c r="U37" s="655"/>
      <c r="V37" s="66"/>
      <c r="W37" s="655"/>
      <c r="X37" s="66"/>
      <c r="Y37" s="655"/>
      <c r="Z37" s="66"/>
      <c r="AA37" s="655"/>
      <c r="AB37" s="170"/>
      <c r="AC37" s="170">
        <v>0</v>
      </c>
      <c r="AD37" s="66"/>
      <c r="AE37" s="57"/>
      <c r="AF37" s="277">
        <f>ROUND(SUM(E37:AC37),1)</f>
        <v>0</v>
      </c>
      <c r="AG37" s="971"/>
      <c r="AH37" s="60"/>
      <c r="AI37" s="3449">
        <f>+'Exhibit I State'!AG36+'Exhibit I Federal'!AG19</f>
        <v>0</v>
      </c>
      <c r="AJ37" s="77"/>
      <c r="AK37" s="333"/>
      <c r="AL37" s="58">
        <f t="shared" ref="AL37:AL60" si="0">ROUND(SUM(+AF37-AI37),1)</f>
        <v>0</v>
      </c>
      <c r="AM37" s="331"/>
      <c r="AN37" s="1419">
        <f>ROUND(IF(AI37=0,0,AL37/ABS(AI37)),3)</f>
        <v>0</v>
      </c>
      <c r="AO37" s="325"/>
    </row>
    <row r="38" spans="1:44">
      <c r="A38" s="31"/>
      <c r="B38" s="886" t="s">
        <v>1053</v>
      </c>
      <c r="C38" s="31"/>
      <c r="D38" s="31"/>
      <c r="E38" s="655"/>
      <c r="F38" s="1523"/>
      <c r="G38" s="655"/>
      <c r="H38" s="1523"/>
      <c r="I38" s="655"/>
      <c r="J38" s="1523"/>
      <c r="K38" s="655"/>
      <c r="L38" s="66"/>
      <c r="M38" s="655"/>
      <c r="N38" s="66"/>
      <c r="O38" s="655"/>
      <c r="P38" s="66"/>
      <c r="Q38" s="655"/>
      <c r="R38" s="66"/>
      <c r="S38" s="655"/>
      <c r="T38" s="66"/>
      <c r="U38" s="655"/>
      <c r="V38" s="66"/>
      <c r="W38" s="655"/>
      <c r="X38" s="66"/>
      <c r="Y38" s="655"/>
      <c r="Z38" s="66"/>
      <c r="AA38" s="655"/>
      <c r="AB38" s="170"/>
      <c r="AC38" s="170"/>
      <c r="AD38" s="66"/>
      <c r="AE38" s="57"/>
      <c r="AF38" s="277"/>
      <c r="AG38" s="971"/>
      <c r="AH38" s="60"/>
      <c r="AI38" s="3449"/>
      <c r="AJ38" s="77"/>
      <c r="AK38" s="333"/>
      <c r="AL38" s="58"/>
      <c r="AM38" s="331"/>
      <c r="AN38" s="1419"/>
      <c r="AO38" s="325"/>
    </row>
    <row r="39" spans="1:44">
      <c r="A39" s="31"/>
      <c r="B39" s="886" t="s">
        <v>968</v>
      </c>
      <c r="C39" s="31"/>
      <c r="D39" s="31"/>
      <c r="E39" s="655">
        <f>+'Exhibit I State'!E38+'Exhibit I Federal'!E21</f>
        <v>10</v>
      </c>
      <c r="F39" s="1523"/>
      <c r="G39" s="655"/>
      <c r="H39" s="1523"/>
      <c r="I39" s="655"/>
      <c r="J39" s="1523"/>
      <c r="K39" s="655"/>
      <c r="L39" s="66"/>
      <c r="M39" s="655"/>
      <c r="N39" s="66"/>
      <c r="O39" s="655"/>
      <c r="P39" s="66"/>
      <c r="Q39" s="655"/>
      <c r="R39" s="66"/>
      <c r="S39" s="655"/>
      <c r="T39" s="66"/>
      <c r="U39" s="655"/>
      <c r="V39" s="66"/>
      <c r="W39" s="655"/>
      <c r="X39" s="66"/>
      <c r="Y39" s="655"/>
      <c r="Z39" s="66"/>
      <c r="AA39" s="655"/>
      <c r="AB39" s="170"/>
      <c r="AC39" s="170">
        <v>0</v>
      </c>
      <c r="AD39" s="66"/>
      <c r="AE39" s="57"/>
      <c r="AF39" s="1074">
        <f>ROUND(SUM(E39:AC39),1)</f>
        <v>10</v>
      </c>
      <c r="AG39" s="971"/>
      <c r="AH39" s="60"/>
      <c r="AI39" s="3449">
        <f>+'Exhibit I State'!AG38+'Exhibit I Federal'!AG21</f>
        <v>7.9</v>
      </c>
      <c r="AJ39" s="77"/>
      <c r="AK39" s="333"/>
      <c r="AL39" s="58">
        <f t="shared" si="0"/>
        <v>2.1</v>
      </c>
      <c r="AM39" s="331"/>
      <c r="AN39" s="1419">
        <f>ROUND(IF(AI39=0,0,AL39/ABS(AI39)),3)</f>
        <v>0.26600000000000001</v>
      </c>
      <c r="AO39" s="325"/>
    </row>
    <row r="40" spans="1:44">
      <c r="A40" s="31"/>
      <c r="B40" s="886" t="s">
        <v>1058</v>
      </c>
      <c r="C40" s="31"/>
      <c r="D40" s="31"/>
      <c r="E40" s="655"/>
      <c r="F40" s="1523"/>
      <c r="G40" s="655"/>
      <c r="H40" s="1523"/>
      <c r="I40" s="655"/>
      <c r="J40" s="1523"/>
      <c r="K40" s="655"/>
      <c r="L40" s="66"/>
      <c r="M40" s="655"/>
      <c r="N40" s="66"/>
      <c r="O40" s="655"/>
      <c r="P40" s="66"/>
      <c r="Q40" s="655"/>
      <c r="R40" s="66"/>
      <c r="S40" s="655"/>
      <c r="T40" s="66"/>
      <c r="U40" s="655"/>
      <c r="V40" s="66"/>
      <c r="W40" s="655"/>
      <c r="X40" s="66"/>
      <c r="Y40" s="655"/>
      <c r="Z40" s="66"/>
      <c r="AA40" s="655"/>
      <c r="AB40" s="170"/>
      <c r="AC40" s="170"/>
      <c r="AD40" s="66"/>
      <c r="AE40" s="57"/>
      <c r="AF40" s="1074"/>
      <c r="AG40" s="971"/>
      <c r="AH40" s="60"/>
      <c r="AI40" s="3449"/>
      <c r="AJ40" s="77"/>
      <c r="AK40" s="333"/>
      <c r="AL40" s="58"/>
      <c r="AM40" s="331"/>
      <c r="AN40" s="1419"/>
      <c r="AO40" s="325"/>
    </row>
    <row r="41" spans="1:44">
      <c r="A41" s="31"/>
      <c r="B41" s="886" t="s">
        <v>972</v>
      </c>
      <c r="C41" s="31"/>
      <c r="D41" s="31"/>
      <c r="E41" s="655">
        <f>+'Exhibit I State'!E40+'Exhibit I Federal'!E23</f>
        <v>1.3</v>
      </c>
      <c r="F41" s="1523"/>
      <c r="G41" s="655"/>
      <c r="H41" s="1523"/>
      <c r="I41" s="655"/>
      <c r="J41" s="1523"/>
      <c r="K41" s="655"/>
      <c r="L41" s="66"/>
      <c r="M41" s="655"/>
      <c r="N41" s="66"/>
      <c r="O41" s="655"/>
      <c r="P41" s="66"/>
      <c r="Q41" s="655"/>
      <c r="R41" s="66"/>
      <c r="S41" s="655"/>
      <c r="T41" s="66"/>
      <c r="U41" s="655"/>
      <c r="V41" s="66"/>
      <c r="W41" s="655"/>
      <c r="X41" s="66"/>
      <c r="Y41" s="655"/>
      <c r="Z41" s="66"/>
      <c r="AA41" s="655"/>
      <c r="AB41" s="170"/>
      <c r="AC41" s="170">
        <v>0</v>
      </c>
      <c r="AD41" s="66"/>
      <c r="AE41" s="57"/>
      <c r="AF41" s="1074">
        <f t="shared" ref="AF41:AF44" si="1">ROUND(SUM(E41:AC41),1)</f>
        <v>1.3</v>
      </c>
      <c r="AG41" s="971"/>
      <c r="AH41" s="60"/>
      <c r="AI41" s="3449">
        <f>+'Exhibit I State'!AG40+'Exhibit I Federal'!AG23</f>
        <v>1.8</v>
      </c>
      <c r="AJ41" s="77"/>
      <c r="AK41" s="333"/>
      <c r="AL41" s="58">
        <f t="shared" si="0"/>
        <v>-0.5</v>
      </c>
      <c r="AM41" s="331"/>
      <c r="AN41" s="1419">
        <f>ROUND(IF(AI41=0,0,AL41/ABS(AI41)),3)</f>
        <v>-0.27800000000000002</v>
      </c>
      <c r="AO41" s="325"/>
    </row>
    <row r="42" spans="1:44">
      <c r="A42" s="31"/>
      <c r="B42" s="886" t="s">
        <v>1115</v>
      </c>
      <c r="C42" s="31"/>
      <c r="D42" s="31"/>
      <c r="E42" s="655">
        <f>+'Exhibit I State'!E41+'Exhibit I Federal'!E24</f>
        <v>0</v>
      </c>
      <c r="F42" s="1523"/>
      <c r="G42" s="655"/>
      <c r="H42" s="1523"/>
      <c r="I42" s="655"/>
      <c r="J42" s="1523"/>
      <c r="K42" s="655"/>
      <c r="L42" s="66"/>
      <c r="M42" s="655"/>
      <c r="N42" s="66"/>
      <c r="O42" s="655"/>
      <c r="P42" s="66"/>
      <c r="Q42" s="655"/>
      <c r="R42" s="66"/>
      <c r="S42" s="655"/>
      <c r="T42" s="66"/>
      <c r="U42" s="655"/>
      <c r="V42" s="66"/>
      <c r="W42" s="655"/>
      <c r="X42" s="66"/>
      <c r="Y42" s="655"/>
      <c r="Z42" s="66"/>
      <c r="AA42" s="655"/>
      <c r="AB42" s="170"/>
      <c r="AC42" s="170">
        <v>0</v>
      </c>
      <c r="AD42" s="66"/>
      <c r="AE42" s="57"/>
      <c r="AF42" s="1074">
        <f t="shared" si="1"/>
        <v>0</v>
      </c>
      <c r="AG42" s="1473"/>
      <c r="AH42" s="60"/>
      <c r="AI42" s="3449">
        <f>+'Exhibit I State'!AG41+'Exhibit I Federal'!AG24</f>
        <v>0</v>
      </c>
      <c r="AJ42" s="77"/>
      <c r="AK42" s="333"/>
      <c r="AL42" s="58">
        <f>ROUND(SUM(+AF42-AI42),1)</f>
        <v>0</v>
      </c>
      <c r="AM42" s="331"/>
      <c r="AN42" s="1419">
        <f>ROUND(IF(AI42=0,0,AL42/ABS(AI42)),3)</f>
        <v>0</v>
      </c>
      <c r="AO42" s="325"/>
    </row>
    <row r="43" spans="1:44">
      <c r="A43" s="31"/>
      <c r="B43" s="886" t="s">
        <v>975</v>
      </c>
      <c r="C43" s="31"/>
      <c r="D43" s="31"/>
      <c r="E43" s="655">
        <f>+'Exhibit I State'!E42+'Exhibit I Federal'!E25</f>
        <v>79.2</v>
      </c>
      <c r="F43" s="1523"/>
      <c r="G43" s="655"/>
      <c r="H43" s="1523"/>
      <c r="I43" s="655"/>
      <c r="J43" s="1523"/>
      <c r="K43" s="655"/>
      <c r="L43" s="66"/>
      <c r="M43" s="655"/>
      <c r="N43" s="66"/>
      <c r="O43" s="655"/>
      <c r="P43" s="66"/>
      <c r="Q43" s="655"/>
      <c r="R43" s="66"/>
      <c r="S43" s="655"/>
      <c r="T43" s="66"/>
      <c r="U43" s="655"/>
      <c r="V43" s="66"/>
      <c r="W43" s="655"/>
      <c r="X43" s="66"/>
      <c r="Y43" s="655"/>
      <c r="Z43" s="66"/>
      <c r="AA43" s="655"/>
      <c r="AB43" s="170"/>
      <c r="AC43" s="170">
        <v>0</v>
      </c>
      <c r="AD43" s="66"/>
      <c r="AE43" s="57"/>
      <c r="AF43" s="1074">
        <f>ROUND(SUM(E43:AC43),1)</f>
        <v>79.2</v>
      </c>
      <c r="AG43" s="971"/>
      <c r="AH43" s="60"/>
      <c r="AI43" s="3449">
        <f>+'Exhibit I State'!AG42+'Exhibit I Federal'!AG25</f>
        <v>52.2</v>
      </c>
      <c r="AJ43" s="77"/>
      <c r="AK43" s="333"/>
      <c r="AL43" s="58">
        <f t="shared" si="0"/>
        <v>27</v>
      </c>
      <c r="AM43" s="331"/>
      <c r="AN43" s="1419">
        <f>ROUND(IF(AI43=0,0,AL43/ABS(AI43)),3)</f>
        <v>0.51700000000000002</v>
      </c>
      <c r="AO43" s="325"/>
    </row>
    <row r="44" spans="1:44">
      <c r="A44" s="31"/>
      <c r="B44" s="886" t="s">
        <v>976</v>
      </c>
      <c r="C44" s="31"/>
      <c r="D44" s="31"/>
      <c r="E44" s="655">
        <f>+'Exhibit I State'!E43+'Exhibit I Federal'!E26</f>
        <v>1.5</v>
      </c>
      <c r="F44" s="1523"/>
      <c r="G44" s="655"/>
      <c r="H44" s="1523"/>
      <c r="I44" s="655"/>
      <c r="J44" s="1523"/>
      <c r="K44" s="655"/>
      <c r="L44" s="66"/>
      <c r="M44" s="655"/>
      <c r="N44" s="66"/>
      <c r="O44" s="655"/>
      <c r="P44" s="66"/>
      <c r="Q44" s="655"/>
      <c r="R44" s="66"/>
      <c r="S44" s="655"/>
      <c r="T44" s="66"/>
      <c r="U44" s="655"/>
      <c r="V44" s="66"/>
      <c r="W44" s="655"/>
      <c r="X44" s="66"/>
      <c r="Y44" s="655"/>
      <c r="Z44" s="66"/>
      <c r="AA44" s="655"/>
      <c r="AB44" s="170"/>
      <c r="AC44" s="170">
        <v>0</v>
      </c>
      <c r="AD44" s="66"/>
      <c r="AE44" s="57"/>
      <c r="AF44" s="1074">
        <f t="shared" si="1"/>
        <v>1.5</v>
      </c>
      <c r="AG44" s="971"/>
      <c r="AH44" s="60"/>
      <c r="AI44" s="3450">
        <f>+'Exhibit I State'!AG43+'Exhibit I Federal'!AG26</f>
        <v>0</v>
      </c>
      <c r="AJ44" s="77"/>
      <c r="AK44" s="333"/>
      <c r="AL44" s="665">
        <f>ROUND(SUM(+AF44-AI44),1)</f>
        <v>1.5</v>
      </c>
      <c r="AM44" s="937"/>
      <c r="AN44" s="1458">
        <f>ROUND(IF(AI44=0,1,AL44/ABS(AI44)),3)</f>
        <v>1</v>
      </c>
      <c r="AO44" s="325"/>
    </row>
    <row r="45" spans="1:44">
      <c r="A45" s="31"/>
      <c r="B45" s="886" t="s">
        <v>934</v>
      </c>
      <c r="C45" s="31"/>
      <c r="D45" s="31"/>
      <c r="E45" s="655">
        <f>+'Exhibit I State'!E44+'Exhibit I Federal'!E27</f>
        <v>2.5</v>
      </c>
      <c r="F45" s="1523"/>
      <c r="G45" s="655"/>
      <c r="H45" s="1523"/>
      <c r="I45" s="655"/>
      <c r="J45" s="1523"/>
      <c r="K45" s="655"/>
      <c r="L45" s="66"/>
      <c r="M45" s="655"/>
      <c r="N45" s="66"/>
      <c r="O45" s="655"/>
      <c r="P45" s="66"/>
      <c r="Q45" s="655"/>
      <c r="R45" s="66"/>
      <c r="S45" s="655"/>
      <c r="T45" s="66"/>
      <c r="U45" s="655"/>
      <c r="V45" s="66"/>
      <c r="W45" s="655"/>
      <c r="X45" s="66"/>
      <c r="Y45" s="655"/>
      <c r="Z45" s="66"/>
      <c r="AA45" s="655"/>
      <c r="AB45" s="170"/>
      <c r="AC45" s="170">
        <v>0</v>
      </c>
      <c r="AD45" s="66"/>
      <c r="AE45" s="57"/>
      <c r="AF45" s="1074">
        <f>ROUND(SUM(E45:AC45),1)</f>
        <v>2.5</v>
      </c>
      <c r="AG45" s="971"/>
      <c r="AH45" s="60"/>
      <c r="AI45" s="3449">
        <f>+'Exhibit I State'!AG44+'Exhibit I Federal'!AG27</f>
        <v>2</v>
      </c>
      <c r="AJ45" s="77"/>
      <c r="AK45" s="333"/>
      <c r="AL45" s="58">
        <f t="shared" si="0"/>
        <v>0.5</v>
      </c>
      <c r="AM45" s="331"/>
      <c r="AN45" s="1472">
        <f>ROUND(IF(AI45=0,1,AL45/ABS(AI45)),3)</f>
        <v>0.25</v>
      </c>
      <c r="AO45" s="325"/>
    </row>
    <row r="46" spans="1:44">
      <c r="A46" s="31"/>
      <c r="B46" s="886" t="s">
        <v>935</v>
      </c>
      <c r="C46" s="31"/>
      <c r="D46" s="31"/>
      <c r="E46" s="655">
        <f>+'Exhibit I State'!E45+'Exhibit I Federal'!E28</f>
        <v>0</v>
      </c>
      <c r="F46" s="1523"/>
      <c r="G46" s="655"/>
      <c r="H46" s="1523"/>
      <c r="I46" s="655"/>
      <c r="J46" s="1523"/>
      <c r="K46" s="655"/>
      <c r="L46" s="66"/>
      <c r="M46" s="655"/>
      <c r="N46" s="66"/>
      <c r="O46" s="655"/>
      <c r="P46" s="66"/>
      <c r="Q46" s="655"/>
      <c r="R46" s="66"/>
      <c r="S46" s="655"/>
      <c r="T46" s="66"/>
      <c r="U46" s="655"/>
      <c r="V46" s="66"/>
      <c r="W46" s="655"/>
      <c r="X46" s="66"/>
      <c r="Y46" s="655"/>
      <c r="Z46" s="66"/>
      <c r="AA46" s="655"/>
      <c r="AB46" s="170"/>
      <c r="AC46" s="170">
        <v>0</v>
      </c>
      <c r="AD46" s="66"/>
      <c r="AE46" s="57"/>
      <c r="AF46" s="1074">
        <f>ROUND(SUM(E46:AC46),1)</f>
        <v>0</v>
      </c>
      <c r="AG46" s="971"/>
      <c r="AH46" s="60"/>
      <c r="AI46" s="3449">
        <f>+'Exhibit I State'!AG45+'Exhibit I Federal'!AG28</f>
        <v>0.7</v>
      </c>
      <c r="AJ46" s="77"/>
      <c r="AK46" s="333"/>
      <c r="AL46" s="58">
        <f>ROUND(SUM(+AF46-AI46),1)</f>
        <v>-0.7</v>
      </c>
      <c r="AM46" s="331"/>
      <c r="AN46" s="1419">
        <f>ROUND(IF(AI46=0,1,AL46/ABS(AI46)),3)</f>
        <v>-1</v>
      </c>
      <c r="AO46" s="325"/>
    </row>
    <row r="47" spans="1:44">
      <c r="A47" s="31"/>
      <c r="B47" s="886" t="s">
        <v>953</v>
      </c>
      <c r="C47" s="31"/>
      <c r="D47" s="31"/>
      <c r="E47" s="655">
        <f>+'Exhibit I State'!E46+'Exhibit I Federal'!E29</f>
        <v>0</v>
      </c>
      <c r="F47" s="1523"/>
      <c r="G47" s="655"/>
      <c r="H47" s="1523"/>
      <c r="I47" s="655"/>
      <c r="J47" s="1523"/>
      <c r="K47" s="655"/>
      <c r="L47" s="66"/>
      <c r="M47" s="655"/>
      <c r="N47" s="66"/>
      <c r="O47" s="655"/>
      <c r="P47" s="66"/>
      <c r="Q47" s="655"/>
      <c r="R47" s="66"/>
      <c r="S47" s="655"/>
      <c r="T47" s="66"/>
      <c r="U47" s="655"/>
      <c r="V47" s="66"/>
      <c r="W47" s="655"/>
      <c r="X47" s="66"/>
      <c r="Y47" s="655"/>
      <c r="Z47" s="66"/>
      <c r="AA47" s="655"/>
      <c r="AB47" s="170"/>
      <c r="AC47" s="170">
        <v>0</v>
      </c>
      <c r="AD47" s="66"/>
      <c r="AE47" s="57"/>
      <c r="AF47" s="1074">
        <f>ROUND(SUM(E47:AC47),1)</f>
        <v>0</v>
      </c>
      <c r="AG47" s="971"/>
      <c r="AH47" s="60"/>
      <c r="AI47" s="3449">
        <f>+'Exhibit I State'!AG46+'Exhibit I Federal'!AG29</f>
        <v>0</v>
      </c>
      <c r="AJ47" s="77"/>
      <c r="AK47" s="333"/>
      <c r="AL47" s="58">
        <f>ROUND(SUM(+AF47-AI47),1)</f>
        <v>0</v>
      </c>
      <c r="AM47" s="331"/>
      <c r="AN47" s="1419">
        <f>ROUND(IF(AI47=0,0,AL47/ABS(AI47)),3)</f>
        <v>0</v>
      </c>
      <c r="AO47" s="325"/>
    </row>
    <row r="48" spans="1:44">
      <c r="A48" s="31"/>
      <c r="B48" s="886" t="s">
        <v>1056</v>
      </c>
      <c r="C48" s="31"/>
      <c r="D48" s="31"/>
      <c r="E48" s="655"/>
      <c r="F48" s="1523"/>
      <c r="G48" s="655"/>
      <c r="H48" s="1523"/>
      <c r="I48" s="655"/>
      <c r="J48" s="1523"/>
      <c r="K48" s="655"/>
      <c r="L48" s="66"/>
      <c r="M48" s="655"/>
      <c r="N48" s="66"/>
      <c r="O48" s="655"/>
      <c r="P48" s="66"/>
      <c r="Q48" s="655"/>
      <c r="R48" s="66"/>
      <c r="S48" s="655"/>
      <c r="T48" s="66"/>
      <c r="U48" s="655"/>
      <c r="V48" s="66"/>
      <c r="W48" s="655"/>
      <c r="X48" s="66"/>
      <c r="Y48" s="655"/>
      <c r="Z48" s="66"/>
      <c r="AA48" s="655"/>
      <c r="AB48" s="170"/>
      <c r="AC48" s="170"/>
      <c r="AD48" s="66"/>
      <c r="AE48" s="57"/>
      <c r="AF48" s="1074"/>
      <c r="AG48" s="971"/>
      <c r="AH48" s="60"/>
      <c r="AI48" s="3449"/>
      <c r="AJ48" s="77"/>
      <c r="AK48" s="333"/>
      <c r="AL48" s="58"/>
      <c r="AM48" s="331"/>
      <c r="AN48" s="8"/>
      <c r="AO48" s="325"/>
    </row>
    <row r="49" spans="1:41">
      <c r="A49" s="31"/>
      <c r="B49" s="886" t="s">
        <v>980</v>
      </c>
      <c r="C49" s="31"/>
      <c r="D49" s="31"/>
      <c r="E49" s="655">
        <f>+'Exhibit I State'!E48+'Exhibit I Federal'!E31</f>
        <v>78.399999999999991</v>
      </c>
      <c r="F49" s="1523"/>
      <c r="G49" s="655"/>
      <c r="H49" s="1523"/>
      <c r="I49" s="655"/>
      <c r="J49" s="1523"/>
      <c r="K49" s="655"/>
      <c r="L49" s="66"/>
      <c r="M49" s="655"/>
      <c r="N49" s="66"/>
      <c r="O49" s="655"/>
      <c r="P49" s="66"/>
      <c r="Q49" s="655"/>
      <c r="R49" s="66"/>
      <c r="S49" s="655"/>
      <c r="T49" s="66"/>
      <c r="U49" s="655"/>
      <c r="V49" s="66"/>
      <c r="W49" s="655"/>
      <c r="X49" s="66"/>
      <c r="Y49" s="655"/>
      <c r="Z49" s="66"/>
      <c r="AA49" s="655"/>
      <c r="AB49" s="170"/>
      <c r="AC49" s="170">
        <v>0</v>
      </c>
      <c r="AD49" s="66"/>
      <c r="AE49" s="57"/>
      <c r="AF49" s="1074">
        <f>ROUND(SUM(E49:AC49),1)</f>
        <v>78.400000000000006</v>
      </c>
      <c r="AG49" s="971"/>
      <c r="AH49" s="60"/>
      <c r="AI49" s="3449">
        <f>+'Exhibit I State'!AG48+'Exhibit I Federal'!AG31</f>
        <v>1122.0999999999999</v>
      </c>
      <c r="AJ49" s="77"/>
      <c r="AK49" s="333"/>
      <c r="AL49" s="58">
        <f t="shared" si="0"/>
        <v>-1043.7</v>
      </c>
      <c r="AM49" s="331"/>
      <c r="AN49" s="1869">
        <f>ROUND(IF(AI49=0,1,AL49/ABS(AI49)),3)</f>
        <v>-0.93</v>
      </c>
      <c r="AO49" s="325"/>
    </row>
    <row r="50" spans="1:41">
      <c r="A50" s="31"/>
      <c r="B50" s="886" t="s">
        <v>982</v>
      </c>
      <c r="C50" s="31"/>
      <c r="D50" s="31"/>
      <c r="E50" s="655">
        <f>+'Exhibit I State'!E49+'Exhibit I Federal'!E32</f>
        <v>0</v>
      </c>
      <c r="F50" s="655">
        <v>0</v>
      </c>
      <c r="G50" s="1116"/>
      <c r="H50" s="655"/>
      <c r="I50" s="1116"/>
      <c r="J50" s="655"/>
      <c r="K50" s="1116"/>
      <c r="L50" s="170"/>
      <c r="M50" s="655"/>
      <c r="N50" s="170"/>
      <c r="O50" s="655"/>
      <c r="P50" s="170"/>
      <c r="Q50" s="655"/>
      <c r="R50" s="66"/>
      <c r="S50" s="655"/>
      <c r="T50" s="66"/>
      <c r="U50" s="655"/>
      <c r="V50" s="66"/>
      <c r="W50" s="655"/>
      <c r="X50" s="66"/>
      <c r="Y50" s="655"/>
      <c r="Z50" s="66"/>
      <c r="AA50" s="655"/>
      <c r="AB50" s="170"/>
      <c r="AC50" s="170">
        <v>0</v>
      </c>
      <c r="AD50" s="66"/>
      <c r="AE50" s="57"/>
      <c r="AF50" s="1074">
        <f>ROUND(SUM(E50:AC50),1)</f>
        <v>0</v>
      </c>
      <c r="AG50" s="1473"/>
      <c r="AH50" s="60"/>
      <c r="AI50" s="3449">
        <f>+'Exhibit I State'!AG49+'Exhibit I Federal'!AG32</f>
        <v>0</v>
      </c>
      <c r="AJ50" s="77"/>
      <c r="AK50" s="333"/>
      <c r="AL50" s="58">
        <f t="shared" si="0"/>
        <v>0</v>
      </c>
      <c r="AM50" s="331"/>
      <c r="AN50" s="1419">
        <f>ROUND(IF(AI50=0,0,AL50/ABS(AI50)),3)</f>
        <v>0</v>
      </c>
      <c r="AO50" s="325"/>
    </row>
    <row r="51" spans="1:41">
      <c r="A51" s="31"/>
      <c r="B51" s="886" t="s">
        <v>983</v>
      </c>
      <c r="C51" s="31"/>
      <c r="D51" s="31"/>
      <c r="E51" s="655">
        <f>+'Exhibit I State'!E50+'Exhibit I Federal'!E33</f>
        <v>0.5</v>
      </c>
      <c r="F51" s="1523"/>
      <c r="G51" s="655"/>
      <c r="H51" s="1523"/>
      <c r="I51" s="655"/>
      <c r="J51" s="1523"/>
      <c r="K51" s="655"/>
      <c r="L51" s="66"/>
      <c r="M51" s="655"/>
      <c r="N51" s="66"/>
      <c r="O51" s="655"/>
      <c r="P51" s="66"/>
      <c r="Q51" s="655"/>
      <c r="R51" s="66"/>
      <c r="S51" s="655"/>
      <c r="T51" s="66"/>
      <c r="U51" s="655"/>
      <c r="V51" s="66"/>
      <c r="W51" s="655"/>
      <c r="X51" s="66"/>
      <c r="Y51" s="655"/>
      <c r="Z51" s="66"/>
      <c r="AA51" s="655"/>
      <c r="AB51" s="170"/>
      <c r="AC51" s="170">
        <v>0</v>
      </c>
      <c r="AD51" s="66"/>
      <c r="AE51" s="57"/>
      <c r="AF51" s="1074">
        <f>ROUND(SUM(E51:AC51),1)</f>
        <v>0.5</v>
      </c>
      <c r="AG51" s="971"/>
      <c r="AH51" s="60"/>
      <c r="AI51" s="3449">
        <f>+'Exhibit I State'!AG50+'Exhibit I Federal'!AG33</f>
        <v>0.1</v>
      </c>
      <c r="AJ51" s="77"/>
      <c r="AK51" s="333"/>
      <c r="AL51" s="58">
        <f t="shared" si="0"/>
        <v>0.4</v>
      </c>
      <c r="AM51" s="331"/>
      <c r="AN51" s="1550">
        <f>ROUND(IF(AI51=0,1,AL51/ABS(AI51)),3)</f>
        <v>4</v>
      </c>
      <c r="AO51" s="325"/>
    </row>
    <row r="52" spans="1:41">
      <c r="A52" s="31"/>
      <c r="B52" s="886" t="s">
        <v>954</v>
      </c>
      <c r="C52" s="31"/>
      <c r="D52" s="31"/>
      <c r="E52" s="655">
        <f>+'Exhibit I State'!E51+'Exhibit I Federal'!E34</f>
        <v>3.3</v>
      </c>
      <c r="F52" s="1523"/>
      <c r="G52" s="655"/>
      <c r="H52" s="1523"/>
      <c r="I52" s="655"/>
      <c r="J52" s="1523"/>
      <c r="K52" s="655"/>
      <c r="L52" s="66"/>
      <c r="M52" s="655"/>
      <c r="N52" s="66"/>
      <c r="O52" s="655"/>
      <c r="P52" s="66"/>
      <c r="Q52" s="655"/>
      <c r="R52" s="66"/>
      <c r="S52" s="655"/>
      <c r="T52" s="66"/>
      <c r="U52" s="655"/>
      <c r="V52" s="66"/>
      <c r="W52" s="655"/>
      <c r="X52" s="66"/>
      <c r="Y52" s="655"/>
      <c r="Z52" s="66"/>
      <c r="AA52" s="655"/>
      <c r="AB52" s="170"/>
      <c r="AC52" s="170">
        <v>0</v>
      </c>
      <c r="AD52" s="66"/>
      <c r="AE52" s="57"/>
      <c r="AF52" s="1074">
        <f>ROUND(SUM(E52:AC52),1)</f>
        <v>3.3</v>
      </c>
      <c r="AG52" s="971"/>
      <c r="AH52" s="60"/>
      <c r="AI52" s="3451">
        <f>+'Exhibit I State'!AG51+'Exhibit I Federal'!AG34</f>
        <v>0.5</v>
      </c>
      <c r="AJ52" s="77"/>
      <c r="AK52" s="333"/>
      <c r="AL52" s="58">
        <f t="shared" si="0"/>
        <v>2.8</v>
      </c>
      <c r="AM52" s="331"/>
      <c r="AN52" s="8">
        <f>ROUND(IF(AI52=0,0,AL52/ABS(AI52)),3)</f>
        <v>5.6</v>
      </c>
      <c r="AO52" s="325"/>
    </row>
    <row r="53" spans="1:41">
      <c r="A53" s="31"/>
      <c r="B53" s="886" t="s">
        <v>1057</v>
      </c>
      <c r="C53" s="31"/>
      <c r="D53" s="31"/>
      <c r="E53" s="655"/>
      <c r="F53" s="1523"/>
      <c r="G53" s="655"/>
      <c r="H53" s="1523"/>
      <c r="I53" s="655"/>
      <c r="J53" s="1523"/>
      <c r="K53" s="655"/>
      <c r="L53" s="66"/>
      <c r="M53" s="655"/>
      <c r="N53" s="66"/>
      <c r="O53" s="655"/>
      <c r="P53" s="66"/>
      <c r="Q53" s="655"/>
      <c r="R53" s="66"/>
      <c r="S53" s="655"/>
      <c r="T53" s="66"/>
      <c r="U53" s="655"/>
      <c r="V53" s="66"/>
      <c r="W53" s="655"/>
      <c r="X53" s="66"/>
      <c r="Y53" s="655"/>
      <c r="Z53" s="66"/>
      <c r="AA53" s="655"/>
      <c r="AB53" s="170"/>
      <c r="AC53" s="655" t="s">
        <v>14</v>
      </c>
      <c r="AD53" s="66"/>
      <c r="AE53" s="57"/>
      <c r="AF53" s="1074"/>
      <c r="AG53" s="971"/>
      <c r="AH53" s="60"/>
      <c r="AI53" s="3449"/>
      <c r="AJ53" s="77"/>
      <c r="AK53" s="333"/>
      <c r="AL53" s="58"/>
      <c r="AM53" s="331"/>
      <c r="AN53" s="8"/>
      <c r="AO53" s="325"/>
    </row>
    <row r="54" spans="1:41">
      <c r="A54" s="31"/>
      <c r="B54" s="886" t="s">
        <v>984</v>
      </c>
      <c r="C54" s="31"/>
      <c r="D54" s="31"/>
      <c r="E54" s="655">
        <f>+'Exhibit I State'!E53+'Exhibit I Federal'!E36</f>
        <v>0</v>
      </c>
      <c r="F54" s="1523"/>
      <c r="G54" s="655"/>
      <c r="H54" s="1523"/>
      <c r="I54" s="655"/>
      <c r="J54" s="1523"/>
      <c r="K54" s="655"/>
      <c r="L54" s="66"/>
      <c r="M54" s="655"/>
      <c r="N54" s="66"/>
      <c r="O54" s="655"/>
      <c r="P54" s="66"/>
      <c r="Q54" s="655"/>
      <c r="R54" s="66"/>
      <c r="S54" s="655"/>
      <c r="T54" s="66"/>
      <c r="U54" s="655"/>
      <c r="V54" s="66"/>
      <c r="W54" s="655"/>
      <c r="X54" s="66"/>
      <c r="Y54" s="655"/>
      <c r="Z54" s="66"/>
      <c r="AA54" s="655"/>
      <c r="AB54" s="170"/>
      <c r="AC54" s="357">
        <v>0</v>
      </c>
      <c r="AD54" s="118"/>
      <c r="AE54" s="673"/>
      <c r="AF54" s="1074">
        <f t="shared" ref="AF54:AF58" si="2">ROUND(SUM(E54:AC54),1)</f>
        <v>0</v>
      </c>
      <c r="AG54" s="1100"/>
      <c r="AH54" s="68"/>
      <c r="AI54" s="3449">
        <f>+'Exhibit I State'!AG53+'Exhibit I Federal'!AG36</f>
        <v>0</v>
      </c>
      <c r="AJ54" s="77"/>
      <c r="AK54" s="333"/>
      <c r="AL54" s="665">
        <f>ROUND(SUM(+AF54-AI54),1)</f>
        <v>0</v>
      </c>
      <c r="AM54" s="937"/>
      <c r="AN54" s="1419">
        <f>ROUND(IF(AI54=0,0,AL54/ABS(AI54)),3)</f>
        <v>0</v>
      </c>
      <c r="AO54" s="325"/>
    </row>
    <row r="55" spans="1:41">
      <c r="A55" s="31"/>
      <c r="B55" s="886" t="s">
        <v>986</v>
      </c>
      <c r="C55" s="31"/>
      <c r="D55" s="31"/>
      <c r="E55" s="655">
        <f>+'Exhibit I State'!E54+'Exhibit I Federal'!E37</f>
        <v>1.8</v>
      </c>
      <c r="F55" s="1523"/>
      <c r="G55" s="655"/>
      <c r="H55" s="1523"/>
      <c r="I55" s="655"/>
      <c r="J55" s="1523"/>
      <c r="K55" s="655"/>
      <c r="L55" s="66"/>
      <c r="M55" s="655"/>
      <c r="N55" s="66"/>
      <c r="O55" s="655"/>
      <c r="P55" s="66"/>
      <c r="Q55" s="655"/>
      <c r="R55" s="66"/>
      <c r="S55" s="655"/>
      <c r="T55" s="66"/>
      <c r="U55" s="655"/>
      <c r="V55" s="66"/>
      <c r="W55" s="655"/>
      <c r="X55" s="66"/>
      <c r="Y55" s="655"/>
      <c r="Z55" s="66"/>
      <c r="AA55" s="655"/>
      <c r="AB55" s="170"/>
      <c r="AC55" s="357">
        <v>0</v>
      </c>
      <c r="AD55" s="118"/>
      <c r="AE55" s="673"/>
      <c r="AF55" s="1074">
        <f t="shared" si="2"/>
        <v>1.8</v>
      </c>
      <c r="AG55" s="1100"/>
      <c r="AH55" s="68"/>
      <c r="AI55" s="3449">
        <f>+'Exhibit I State'!AG54+'Exhibit I Federal'!AG37</f>
        <v>0</v>
      </c>
      <c r="AJ55" s="77"/>
      <c r="AK55" s="333"/>
      <c r="AL55" s="665">
        <f>ROUND(SUM(+AF55-AI55),1)</f>
        <v>1.8</v>
      </c>
      <c r="AM55" s="937"/>
      <c r="AN55" s="1458">
        <f>ROUND(IF(AI55=0,1,AL55/ABS(AI55)),3)</f>
        <v>1</v>
      </c>
      <c r="AO55" s="325"/>
    </row>
    <row r="56" spans="1:41">
      <c r="A56" s="31"/>
      <c r="B56" s="886" t="s">
        <v>987</v>
      </c>
      <c r="C56" s="31"/>
      <c r="D56" s="31"/>
      <c r="E56" s="655">
        <f>+'Exhibit I State'!E55+'Exhibit I Federal'!E38</f>
        <v>0</v>
      </c>
      <c r="F56" s="1523"/>
      <c r="G56" s="655"/>
      <c r="H56" s="1523"/>
      <c r="I56" s="655"/>
      <c r="J56" s="1523"/>
      <c r="K56" s="655"/>
      <c r="L56" s="66"/>
      <c r="M56" s="655"/>
      <c r="N56" s="66"/>
      <c r="O56" s="655"/>
      <c r="P56" s="66"/>
      <c r="Q56" s="655"/>
      <c r="R56" s="66"/>
      <c r="S56" s="655"/>
      <c r="T56" s="66"/>
      <c r="U56" s="655"/>
      <c r="V56" s="66"/>
      <c r="W56" s="655"/>
      <c r="X56" s="66"/>
      <c r="Y56" s="655"/>
      <c r="Z56" s="66"/>
      <c r="AA56" s="655"/>
      <c r="AB56" s="170"/>
      <c r="AC56" s="357">
        <v>0</v>
      </c>
      <c r="AD56" s="118"/>
      <c r="AE56" s="673"/>
      <c r="AF56" s="1074">
        <f t="shared" si="2"/>
        <v>0</v>
      </c>
      <c r="AG56" s="2186"/>
      <c r="AH56" s="68"/>
      <c r="AI56" s="3449">
        <f>+'Exhibit I State'!AG55+'Exhibit I Federal'!AG38</f>
        <v>0</v>
      </c>
      <c r="AJ56" s="77"/>
      <c r="AK56" s="333"/>
      <c r="AL56" s="665">
        <f>ROUND(SUM(+AF56-AI56),1)</f>
        <v>0</v>
      </c>
      <c r="AM56" s="937"/>
      <c r="AN56" s="1419">
        <f>ROUND(IF(AI56=0,0,AL56/ABS(AI56)),3)</f>
        <v>0</v>
      </c>
      <c r="AO56" s="325"/>
    </row>
    <row r="57" spans="1:41">
      <c r="A57" s="31"/>
      <c r="B57" s="886" t="s">
        <v>989</v>
      </c>
      <c r="C57" s="31"/>
      <c r="D57" s="31"/>
      <c r="E57" s="655">
        <f>+'Exhibit I State'!E56</f>
        <v>0</v>
      </c>
      <c r="F57" s="1523"/>
      <c r="G57" s="655"/>
      <c r="H57" s="1523"/>
      <c r="I57" s="655"/>
      <c r="J57" s="1523"/>
      <c r="K57" s="655"/>
      <c r="L57" s="66"/>
      <c r="M57" s="655"/>
      <c r="N57" s="66"/>
      <c r="O57" s="655"/>
      <c r="P57" s="66"/>
      <c r="Q57" s="655"/>
      <c r="R57" s="66"/>
      <c r="S57" s="655"/>
      <c r="T57" s="66"/>
      <c r="U57" s="655"/>
      <c r="V57" s="66"/>
      <c r="W57" s="655"/>
      <c r="X57" s="66"/>
      <c r="Y57" s="655"/>
      <c r="Z57" s="66"/>
      <c r="AA57" s="655"/>
      <c r="AB57" s="170"/>
      <c r="AC57" s="357">
        <v>0</v>
      </c>
      <c r="AD57" s="118"/>
      <c r="AE57" s="673"/>
      <c r="AF57" s="1074">
        <f t="shared" si="2"/>
        <v>0</v>
      </c>
      <c r="AG57" s="2187"/>
      <c r="AH57" s="68"/>
      <c r="AI57" s="3449">
        <f>+'Exhibit I State'!AG56</f>
        <v>0</v>
      </c>
      <c r="AJ57" s="77"/>
      <c r="AK57" s="333"/>
      <c r="AL57" s="665">
        <f>ROUND(SUM(+AF57-AI57),1)</f>
        <v>0</v>
      </c>
      <c r="AM57" s="937"/>
      <c r="AN57" s="1419">
        <f>ROUND(IF(AI57=0,0,AL57/ABS(AI57)),3)</f>
        <v>0</v>
      </c>
      <c r="AO57" s="325"/>
    </row>
    <row r="58" spans="1:41">
      <c r="A58" s="31"/>
      <c r="B58" s="886" t="s">
        <v>990</v>
      </c>
      <c r="C58" s="31"/>
      <c r="D58" s="31"/>
      <c r="E58" s="655">
        <f>+'Exhibit I State'!E57+'Exhibit I Federal'!E39</f>
        <v>0.3</v>
      </c>
      <c r="F58" s="1523"/>
      <c r="G58" s="655"/>
      <c r="H58" s="1523"/>
      <c r="I58" s="655"/>
      <c r="J58" s="1523"/>
      <c r="K58" s="655"/>
      <c r="L58" s="66"/>
      <c r="M58" s="655"/>
      <c r="N58" s="66"/>
      <c r="O58" s="655"/>
      <c r="P58" s="66"/>
      <c r="Q58" s="655"/>
      <c r="R58" s="66"/>
      <c r="S58" s="655"/>
      <c r="T58" s="66"/>
      <c r="U58" s="655"/>
      <c r="V58" s="66"/>
      <c r="W58" s="655"/>
      <c r="X58" s="66"/>
      <c r="Y58" s="655"/>
      <c r="Z58" s="66"/>
      <c r="AA58" s="655"/>
      <c r="AB58" s="170"/>
      <c r="AC58" s="357">
        <v>0</v>
      </c>
      <c r="AD58" s="118"/>
      <c r="AE58" s="673"/>
      <c r="AF58" s="1074">
        <f t="shared" si="2"/>
        <v>0.3</v>
      </c>
      <c r="AG58" s="1100"/>
      <c r="AH58" s="68"/>
      <c r="AI58" s="3449">
        <f>+'Exhibit I State'!AG57+'Exhibit I Federal'!AG39</f>
        <v>3.1</v>
      </c>
      <c r="AJ58" s="77"/>
      <c r="AK58" s="333"/>
      <c r="AL58" s="58">
        <f t="shared" si="0"/>
        <v>-2.8</v>
      </c>
      <c r="AM58" s="331"/>
      <c r="AN58" s="1869">
        <f>ROUND(IF(AI58=0,1,AL58/ABS(AI58)),3)</f>
        <v>-0.90300000000000002</v>
      </c>
      <c r="AO58" s="325"/>
    </row>
    <row r="59" spans="1:41">
      <c r="A59" s="31"/>
      <c r="B59" s="886" t="s">
        <v>992</v>
      </c>
      <c r="C59" s="31"/>
      <c r="D59" s="31"/>
      <c r="E59" s="655">
        <f>+'Exhibit I State'!E58+'Exhibit I Federal'!E40</f>
        <v>2.4</v>
      </c>
      <c r="F59" s="1523"/>
      <c r="G59" s="655"/>
      <c r="H59" s="1523"/>
      <c r="I59" s="655"/>
      <c r="J59" s="1523"/>
      <c r="K59" s="655"/>
      <c r="L59" s="66"/>
      <c r="M59" s="655"/>
      <c r="N59" s="66"/>
      <c r="O59" s="655"/>
      <c r="P59" s="66"/>
      <c r="Q59" s="655"/>
      <c r="R59" s="66"/>
      <c r="S59" s="655"/>
      <c r="T59" s="66"/>
      <c r="U59" s="655"/>
      <c r="V59" s="66"/>
      <c r="W59" s="655"/>
      <c r="X59" s="66"/>
      <c r="Y59" s="655"/>
      <c r="Z59" s="66"/>
      <c r="AA59" s="655"/>
      <c r="AB59" s="170"/>
      <c r="AC59" s="357">
        <v>0</v>
      </c>
      <c r="AD59" s="118"/>
      <c r="AE59" s="673"/>
      <c r="AF59" s="1074">
        <f>ROUND(SUM(E59:AC59),1)</f>
        <v>2.4</v>
      </c>
      <c r="AG59" s="1100"/>
      <c r="AH59" s="68"/>
      <c r="AI59" s="3451">
        <f>+'Exhibit I State'!AG58+'Exhibit I Federal'!AG40</f>
        <v>0.3</v>
      </c>
      <c r="AJ59" s="77"/>
      <c r="AK59" s="333"/>
      <c r="AL59" s="58">
        <f t="shared" si="0"/>
        <v>2.1</v>
      </c>
      <c r="AM59" s="331"/>
      <c r="AN59" s="1362">
        <f>ROUND(IF(AI59=0,0,AL59/ABS(AI59)),3)</f>
        <v>7</v>
      </c>
      <c r="AO59" s="325"/>
    </row>
    <row r="60" spans="1:41">
      <c r="A60" s="31"/>
      <c r="B60" s="886" t="s">
        <v>964</v>
      </c>
      <c r="C60" s="31"/>
      <c r="D60" s="31"/>
      <c r="E60" s="655">
        <f>+'Exhibit I State'!E59+'Exhibit I Federal'!E41</f>
        <v>0.1</v>
      </c>
      <c r="F60" s="1523"/>
      <c r="G60" s="655"/>
      <c r="H60" s="1523"/>
      <c r="I60" s="655"/>
      <c r="J60" s="1523"/>
      <c r="K60" s="655"/>
      <c r="L60" s="66"/>
      <c r="M60" s="655"/>
      <c r="N60" s="66"/>
      <c r="O60" s="655"/>
      <c r="P60" s="66"/>
      <c r="Q60" s="655"/>
      <c r="R60" s="66"/>
      <c r="S60" s="655"/>
      <c r="T60" s="66"/>
      <c r="U60" s="655"/>
      <c r="V60" s="66"/>
      <c r="W60" s="655"/>
      <c r="X60" s="66"/>
      <c r="Y60" s="655"/>
      <c r="Z60" s="66"/>
      <c r="AA60" s="655"/>
      <c r="AB60" s="170"/>
      <c r="AC60" s="357">
        <v>0</v>
      </c>
      <c r="AD60" s="118"/>
      <c r="AE60" s="673"/>
      <c r="AF60" s="1074">
        <f>ROUND(SUM(E60:AC60),1)</f>
        <v>0.1</v>
      </c>
      <c r="AG60" s="1100"/>
      <c r="AH60" s="68"/>
      <c r="AI60" s="3449">
        <f>+'Exhibit I State'!AG59+'Exhibit I Federal'!AG41</f>
        <v>0</v>
      </c>
      <c r="AJ60" s="77"/>
      <c r="AK60" s="333"/>
      <c r="AL60" s="58">
        <f t="shared" si="0"/>
        <v>0.1</v>
      </c>
      <c r="AM60" s="331"/>
      <c r="AN60" s="1472">
        <f>ROUND(IF(AI60=0,0,AL60/ABS(AI60)),3)</f>
        <v>0</v>
      </c>
      <c r="AO60" s="325"/>
    </row>
    <row r="61" spans="1:41" s="330" customFormat="1">
      <c r="A61" s="29"/>
      <c r="B61" s="310" t="s">
        <v>1096</v>
      </c>
      <c r="C61" s="29"/>
      <c r="D61" s="29"/>
      <c r="E61" s="258">
        <f>ROUND(SUM(E37:E60),1)</f>
        <v>181.3</v>
      </c>
      <c r="F61" s="916"/>
      <c r="G61" s="258">
        <f>ROUND(SUM(G37:G60),1)</f>
        <v>0</v>
      </c>
      <c r="H61" s="1059"/>
      <c r="I61" s="258">
        <f>ROUND(SUM(I37:I60),1)</f>
        <v>0</v>
      </c>
      <c r="J61" s="916"/>
      <c r="K61" s="258">
        <f>ROUND(SUM(K37:K60),1)</f>
        <v>0</v>
      </c>
      <c r="L61" s="916"/>
      <c r="M61" s="258">
        <f>ROUND(SUM(M37:M60),1)</f>
        <v>0</v>
      </c>
      <c r="N61" s="916"/>
      <c r="O61" s="258">
        <f>ROUND(SUM(O37:O60),1)</f>
        <v>0</v>
      </c>
      <c r="P61" s="916"/>
      <c r="Q61" s="258">
        <f>ROUND(SUM(Q37:Q60),1)</f>
        <v>0</v>
      </c>
      <c r="R61" s="916"/>
      <c r="S61" s="1531">
        <f>ROUND(SUM(S37:S60),1)</f>
        <v>0</v>
      </c>
      <c r="T61" s="916"/>
      <c r="U61" s="258">
        <f>ROUND(SUM(U37:U60),1)</f>
        <v>0</v>
      </c>
      <c r="V61" s="916"/>
      <c r="W61" s="258">
        <f>ROUND(SUM(W37:W60),1)</f>
        <v>0</v>
      </c>
      <c r="X61" s="916"/>
      <c r="Y61" s="258">
        <f>ROUND(SUM(Y37:Y60),1)</f>
        <v>0</v>
      </c>
      <c r="Z61" s="916"/>
      <c r="AA61" s="258">
        <f>ROUND(SUM(AA37:AA60),1)</f>
        <v>0</v>
      </c>
      <c r="AB61" s="1524"/>
      <c r="AC61" s="1531">
        <f>ROUND(SUM(AC37:AC60),1)</f>
        <v>0</v>
      </c>
      <c r="AD61" s="112"/>
      <c r="AE61" s="674"/>
      <c r="AF61" s="1531">
        <f>ROUND(SUM(AF37:AF60),1)</f>
        <v>181.3</v>
      </c>
      <c r="AG61" s="1080"/>
      <c r="AH61" s="115"/>
      <c r="AI61" s="1531">
        <f>ROUND(SUM(AI37:AI60),1)</f>
        <v>1190.7</v>
      </c>
      <c r="AJ61" s="84"/>
      <c r="AK61" s="333"/>
      <c r="AL61" s="258">
        <f>ROUND(SUM(AL37:AL60),1)</f>
        <v>-1009.4</v>
      </c>
      <c r="AM61" s="1060"/>
      <c r="AN61" s="1061">
        <f>ROUND(SUM(AL61/AI61),3)</f>
        <v>-0.84799999999999998</v>
      </c>
    </row>
    <row r="62" spans="1:41">
      <c r="A62" s="31"/>
      <c r="B62" s="310"/>
      <c r="C62" s="31"/>
      <c r="D62" s="31"/>
      <c r="E62" s="1523"/>
      <c r="F62" s="1523"/>
      <c r="G62" s="1523"/>
      <c r="H62" s="681"/>
      <c r="I62" s="1523"/>
      <c r="J62" s="1523"/>
      <c r="K62" s="1523"/>
      <c r="L62" s="66"/>
      <c r="M62" s="1523"/>
      <c r="N62" s="66"/>
      <c r="O62" s="1523"/>
      <c r="P62" s="66"/>
      <c r="Q62" s="655"/>
      <c r="R62" s="66"/>
      <c r="S62" s="889"/>
      <c r="T62" s="66"/>
      <c r="U62" s="1523"/>
      <c r="V62" s="66"/>
      <c r="W62" s="1523"/>
      <c r="X62" s="66"/>
      <c r="Y62" s="1523"/>
      <c r="Z62" s="66"/>
      <c r="AA62" s="1523"/>
      <c r="AB62" s="1523"/>
      <c r="AC62" s="889"/>
      <c r="AD62" s="118"/>
      <c r="AE62" s="673"/>
      <c r="AF62" s="1074"/>
      <c r="AG62" s="1079"/>
      <c r="AH62" s="67"/>
      <c r="AI62" s="118"/>
      <c r="AJ62" s="77"/>
      <c r="AK62" s="333"/>
      <c r="AL62" s="58"/>
      <c r="AM62" s="334"/>
      <c r="AN62" s="332"/>
    </row>
    <row r="63" spans="1:41">
      <c r="A63" s="31"/>
      <c r="B63" s="31" t="s">
        <v>148</v>
      </c>
      <c r="C63" s="31"/>
      <c r="D63" s="31"/>
      <c r="E63" s="681">
        <f>+'Exhibit I State'!E62+'Exhibit I Federal'!E44</f>
        <v>5.6</v>
      </c>
      <c r="F63" s="1523"/>
      <c r="G63" s="681"/>
      <c r="H63" s="1523"/>
      <c r="I63" s="681"/>
      <c r="J63" s="1523"/>
      <c r="K63" s="681"/>
      <c r="L63" s="66"/>
      <c r="M63" s="681"/>
      <c r="N63" s="66"/>
      <c r="O63" s="681"/>
      <c r="P63" s="66"/>
      <c r="Q63" s="3564"/>
      <c r="R63" s="66"/>
      <c r="S63" s="3564"/>
      <c r="T63" s="66"/>
      <c r="U63" s="3564"/>
      <c r="V63" s="66"/>
      <c r="W63" s="3564"/>
      <c r="X63" s="66"/>
      <c r="Y63" s="3564"/>
      <c r="Z63" s="66"/>
      <c r="AA63" s="3564"/>
      <c r="AB63" s="277"/>
      <c r="AC63" s="1074">
        <v>0</v>
      </c>
      <c r="AD63" s="118"/>
      <c r="AE63" s="673"/>
      <c r="AF63" s="118">
        <f>ROUND(SUM(E63:AC63),1)</f>
        <v>5.6</v>
      </c>
      <c r="AG63" s="1075"/>
      <c r="AH63" s="67"/>
      <c r="AI63" s="118">
        <f>+'Exhibit I State'!AG62+'Exhibit I Federal'!AG44</f>
        <v>85.7</v>
      </c>
      <c r="AJ63" s="77"/>
      <c r="AK63" s="335"/>
      <c r="AL63" s="336">
        <f>ROUND(SUM(+AF63-AI63),1)</f>
        <v>-80.099999999999994</v>
      </c>
      <c r="AM63" s="334"/>
      <c r="AN63" s="337">
        <f>ROUND(SUM(AL63/AI63),3)</f>
        <v>-0.93500000000000005</v>
      </c>
    </row>
    <row r="64" spans="1:41">
      <c r="A64" s="31"/>
      <c r="B64" s="31"/>
      <c r="C64" s="31"/>
      <c r="D64" s="31"/>
      <c r="E64" s="682"/>
      <c r="F64" s="1523"/>
      <c r="G64" s="682"/>
      <c r="H64" s="1523"/>
      <c r="I64" s="682"/>
      <c r="J64" s="1523"/>
      <c r="K64" s="682"/>
      <c r="L64" s="66"/>
      <c r="M64" s="88"/>
      <c r="N64" s="66"/>
      <c r="O64" s="88"/>
      <c r="P64" s="66"/>
      <c r="Q64" s="655"/>
      <c r="R64" s="66"/>
      <c r="S64" s="126"/>
      <c r="T64" s="66"/>
      <c r="U64" s="88"/>
      <c r="V64" s="66"/>
      <c r="W64" s="88"/>
      <c r="X64" s="66"/>
      <c r="Y64" s="88"/>
      <c r="Z64" s="66"/>
      <c r="AA64" s="88"/>
      <c r="AB64" s="56"/>
      <c r="AC64" s="126"/>
      <c r="AD64" s="118"/>
      <c r="AE64" s="673"/>
      <c r="AF64" s="126"/>
      <c r="AG64" s="1075"/>
      <c r="AH64" s="67"/>
      <c r="AI64" s="126"/>
      <c r="AJ64" s="56"/>
      <c r="AK64" s="335"/>
      <c r="AL64" s="58"/>
      <c r="AM64" s="325"/>
      <c r="AN64" s="332"/>
    </row>
    <row r="65" spans="1:44">
      <c r="A65" s="31"/>
      <c r="B65" s="29" t="s">
        <v>195</v>
      </c>
      <c r="C65" s="31"/>
      <c r="D65" s="31"/>
      <c r="E65" s="1833">
        <f>ROUND(SUM(+E61+E63+E33),1)</f>
        <v>271.7</v>
      </c>
      <c r="F65" s="916"/>
      <c r="G65" s="1833">
        <f>ROUND(SUM(+G61+G63+G33),1)</f>
        <v>0</v>
      </c>
      <c r="H65" s="916"/>
      <c r="I65" s="1833">
        <f>ROUND(SUM(+I61+I63+I33),1)</f>
        <v>0</v>
      </c>
      <c r="J65" s="916"/>
      <c r="K65" s="1833">
        <f>ROUND(SUM(+K61+K63+K33),1)</f>
        <v>0</v>
      </c>
      <c r="L65" s="62"/>
      <c r="M65" s="312">
        <f>ROUND(SUM(+M61+M63+M33),1)</f>
        <v>0</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49"/>
      <c r="AC65" s="312">
        <f>ROUND(SUM(+AC61+AC63+AC33),1)</f>
        <v>0</v>
      </c>
      <c r="AD65" s="62"/>
      <c r="AE65" s="64"/>
      <c r="AF65" s="312">
        <f>ROUND(SUM(+AF61+AF63+AF33),1)</f>
        <v>271.7</v>
      </c>
      <c r="AG65" s="216"/>
      <c r="AH65" s="76"/>
      <c r="AI65" s="312">
        <f>ROUND(SUM(+AI61+AI63+AI33),1)</f>
        <v>1350.5</v>
      </c>
      <c r="AJ65" s="84"/>
      <c r="AK65" s="335"/>
      <c r="AL65" s="312">
        <f>ROUND(SUM(+AL61+AL63+AL33),1)</f>
        <v>-1078.8</v>
      </c>
      <c r="AM65" s="166"/>
      <c r="AN65" s="894">
        <f>ROUND(SUM(AL65/AI65),3)</f>
        <v>-0.79900000000000004</v>
      </c>
      <c r="AO65" s="330"/>
      <c r="AP65" s="338"/>
      <c r="AQ65" s="330"/>
      <c r="AR65" s="330"/>
    </row>
    <row r="66" spans="1:44">
      <c r="A66" s="31"/>
      <c r="B66" s="31"/>
      <c r="C66" s="31"/>
      <c r="D66" s="31"/>
      <c r="E66" s="682"/>
      <c r="F66" s="1523"/>
      <c r="G66" s="682"/>
      <c r="H66" s="1523"/>
      <c r="I66" s="682"/>
      <c r="J66" s="1523"/>
      <c r="K66" s="682"/>
      <c r="L66" s="66"/>
      <c r="M66" s="88"/>
      <c r="N66" s="66"/>
      <c r="O66" s="88"/>
      <c r="P66" s="66"/>
      <c r="Q66" s="655"/>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22</v>
      </c>
      <c r="C67" s="31"/>
      <c r="D67" s="31"/>
      <c r="E67" s="1523"/>
      <c r="F67" s="1523"/>
      <c r="G67" s="1523"/>
      <c r="H67" s="1523"/>
      <c r="I67" s="1523"/>
      <c r="J67" s="1523"/>
      <c r="K67" s="1523"/>
      <c r="L67" s="66"/>
      <c r="M67" s="66"/>
      <c r="N67" s="66"/>
      <c r="O67" s="66"/>
      <c r="P67" s="66"/>
      <c r="Q67" s="655"/>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150</v>
      </c>
      <c r="C68" s="31"/>
      <c r="D68" s="31"/>
      <c r="E68" s="1523"/>
      <c r="F68" s="1523"/>
      <c r="G68" s="1523"/>
      <c r="H68" s="1523"/>
      <c r="I68" s="1523"/>
      <c r="J68" s="1523"/>
      <c r="K68" s="1523"/>
      <c r="L68" s="66"/>
      <c r="M68" s="66"/>
      <c r="N68" s="66"/>
      <c r="O68" s="66"/>
      <c r="P68" s="66"/>
      <c r="Q68" s="655"/>
      <c r="R68" s="66"/>
      <c r="S68" s="118"/>
      <c r="T68" s="66"/>
      <c r="U68" s="66"/>
      <c r="V68" s="66"/>
      <c r="W68" s="66"/>
      <c r="X68" s="66"/>
      <c r="Y68" s="1523" t="s">
        <v>14</v>
      </c>
      <c r="Z68" s="66"/>
      <c r="AA68" s="1523" t="s">
        <v>14</v>
      </c>
      <c r="AB68" s="66"/>
      <c r="AC68" s="66"/>
      <c r="AD68" s="66"/>
      <c r="AE68" s="57"/>
      <c r="AF68" s="119"/>
      <c r="AG68" s="79"/>
      <c r="AH68" s="56"/>
      <c r="AI68" s="118"/>
      <c r="AJ68" s="66"/>
      <c r="AK68" s="335"/>
      <c r="AL68" s="58"/>
      <c r="AM68" s="325"/>
      <c r="AN68" s="332"/>
    </row>
    <row r="69" spans="1:44">
      <c r="A69" s="31"/>
      <c r="B69" s="31" t="s">
        <v>24</v>
      </c>
      <c r="C69" s="31"/>
      <c r="D69" s="31"/>
      <c r="E69" s="681">
        <f>+'Exhibit I State'!E68+'Exhibit I Federal'!E50</f>
        <v>13.5</v>
      </c>
      <c r="F69" s="1523"/>
      <c r="G69" s="681"/>
      <c r="H69" s="681"/>
      <c r="I69" s="681"/>
      <c r="J69" s="1523"/>
      <c r="K69" s="681"/>
      <c r="L69" s="66"/>
      <c r="M69" s="681"/>
      <c r="N69" s="66"/>
      <c r="O69" s="681"/>
      <c r="P69" s="66"/>
      <c r="Q69" s="681"/>
      <c r="R69" s="66"/>
      <c r="S69" s="681"/>
      <c r="T69" s="66"/>
      <c r="U69" s="681"/>
      <c r="V69" s="66"/>
      <c r="W69" s="681"/>
      <c r="X69" s="66"/>
      <c r="Y69" s="681"/>
      <c r="Z69" s="66"/>
      <c r="AA69" s="681"/>
      <c r="AB69" s="277"/>
      <c r="AC69" s="277">
        <v>0</v>
      </c>
      <c r="AD69" s="66"/>
      <c r="AE69" s="57"/>
      <c r="AF69" s="118">
        <f>ROUND(SUM(E69:AC69),1)</f>
        <v>13.5</v>
      </c>
      <c r="AG69" s="79"/>
      <c r="AH69" s="56"/>
      <c r="AI69" s="118">
        <f>+'Exhibit I State'!AG68+'Exhibit I Federal'!AG50</f>
        <v>12</v>
      </c>
      <c r="AJ69" s="77"/>
      <c r="AK69" s="333"/>
      <c r="AL69" s="58">
        <f>ROUND(SUM(+AF69-AI69),1)</f>
        <v>1.5</v>
      </c>
      <c r="AM69" s="334"/>
      <c r="AN69" s="1869">
        <f>ROUND(IF(AI69=0,1,AL69/ABS(AI69)),3)</f>
        <v>0.125</v>
      </c>
    </row>
    <row r="70" spans="1:44">
      <c r="A70" s="31"/>
      <c r="B70" s="31" t="s">
        <v>25</v>
      </c>
      <c r="C70" s="31"/>
      <c r="D70" s="31"/>
      <c r="E70" s="681">
        <f>+'Exhibit I State'!E69+'Exhibit I Federal'!E51</f>
        <v>29</v>
      </c>
      <c r="F70" s="1523"/>
      <c r="G70" s="681"/>
      <c r="H70" s="1523"/>
      <c r="I70" s="681"/>
      <c r="J70" s="1523"/>
      <c r="K70" s="681"/>
      <c r="L70" s="66"/>
      <c r="M70" s="681"/>
      <c r="N70" s="66"/>
      <c r="O70" s="681"/>
      <c r="P70" s="66"/>
      <c r="Q70" s="681"/>
      <c r="R70" s="66"/>
      <c r="S70" s="681"/>
      <c r="T70" s="66"/>
      <c r="U70" s="681"/>
      <c r="V70" s="66"/>
      <c r="W70" s="681"/>
      <c r="X70" s="66"/>
      <c r="Y70" s="681"/>
      <c r="Z70" s="66"/>
      <c r="AA70" s="681"/>
      <c r="AB70" s="277"/>
      <c r="AC70" s="277">
        <v>0</v>
      </c>
      <c r="AD70" s="66"/>
      <c r="AE70" s="57"/>
      <c r="AF70" s="118">
        <f>ROUND(SUM(E70:AC70),1)</f>
        <v>29</v>
      </c>
      <c r="AG70" s="79"/>
      <c r="AH70" s="56"/>
      <c r="AI70" s="118">
        <f>+'Exhibit I State'!AG69+'Exhibit I Federal'!AG51</f>
        <v>4.4000000000000004</v>
      </c>
      <c r="AJ70" s="77"/>
      <c r="AK70" s="333"/>
      <c r="AL70" s="58">
        <f t="shared" ref="AL70:AL77" si="3">ROUND(SUM(+AF70-AI70),1)</f>
        <v>24.6</v>
      </c>
      <c r="AM70" s="334"/>
      <c r="AN70" s="1419">
        <f>ROUND(IF(AI70=0,0,AL70/ABS(AI70)),3)</f>
        <v>5.5910000000000002</v>
      </c>
    </row>
    <row r="71" spans="1:44">
      <c r="A71" s="31"/>
      <c r="B71" s="31" t="s">
        <v>26</v>
      </c>
      <c r="C71" s="31"/>
      <c r="D71" s="31"/>
      <c r="E71" s="681">
        <f>+'Exhibit I State'!E70+'Exhibit I Federal'!E52</f>
        <v>12.7</v>
      </c>
      <c r="F71" s="1523"/>
      <c r="G71" s="681"/>
      <c r="H71" s="1523"/>
      <c r="I71" s="681"/>
      <c r="J71" s="1523"/>
      <c r="K71" s="681"/>
      <c r="L71" s="66"/>
      <c r="M71" s="681"/>
      <c r="N71" s="66"/>
      <c r="O71" s="681"/>
      <c r="P71" s="66"/>
      <c r="Q71" s="681"/>
      <c r="R71" s="66"/>
      <c r="S71" s="681"/>
      <c r="T71" s="66"/>
      <c r="U71" s="681"/>
      <c r="V71" s="66"/>
      <c r="W71" s="681"/>
      <c r="X71" s="66"/>
      <c r="Y71" s="681"/>
      <c r="Z71" s="66"/>
      <c r="AA71" s="681"/>
      <c r="AB71" s="681" t="s">
        <v>1175</v>
      </c>
      <c r="AC71" s="681">
        <v>0</v>
      </c>
      <c r="AD71" s="66"/>
      <c r="AE71" s="57"/>
      <c r="AF71" s="118">
        <f>ROUND(SUM(E71:AC71),1)</f>
        <v>12.7</v>
      </c>
      <c r="AG71" s="79"/>
      <c r="AH71" s="56"/>
      <c r="AI71" s="118">
        <f>+'Exhibit I State'!AG70+'Exhibit I Federal'!AG52</f>
        <v>30.4</v>
      </c>
      <c r="AJ71" s="77"/>
      <c r="AK71" s="333"/>
      <c r="AL71" s="58">
        <f t="shared" si="3"/>
        <v>-17.7</v>
      </c>
      <c r="AM71" s="334"/>
      <c r="AN71" s="1419">
        <f>ROUND(IF(AI71=0,0,AL71/ABS(AI71)),3)</f>
        <v>-0.58199999999999996</v>
      </c>
      <c r="AO71" s="325"/>
    </row>
    <row r="72" spans="1:44">
      <c r="A72" s="31"/>
      <c r="B72" s="31" t="s">
        <v>27</v>
      </c>
      <c r="C72" s="31"/>
      <c r="D72" s="31"/>
      <c r="E72" s="681"/>
      <c r="F72" s="1523"/>
      <c r="G72" s="681"/>
      <c r="H72" s="1523"/>
      <c r="I72" s="681"/>
      <c r="J72" s="1523"/>
      <c r="K72" s="681"/>
      <c r="L72" s="66"/>
      <c r="M72" s="681"/>
      <c r="N72" s="66"/>
      <c r="O72" s="681"/>
      <c r="P72" s="66"/>
      <c r="Q72" s="681"/>
      <c r="R72" s="66"/>
      <c r="S72" s="681"/>
      <c r="T72" s="66"/>
      <c r="U72" s="681"/>
      <c r="V72" s="66"/>
      <c r="W72" s="681"/>
      <c r="X72" s="66"/>
      <c r="Y72" s="681"/>
      <c r="Z72" s="66"/>
      <c r="AA72" s="681"/>
      <c r="AB72" s="277"/>
      <c r="AC72" s="277"/>
      <c r="AD72" s="66"/>
      <c r="AE72" s="57"/>
      <c r="AF72" s="889" t="s">
        <v>14</v>
      </c>
      <c r="AG72" s="79"/>
      <c r="AH72" s="56"/>
      <c r="AI72" s="127"/>
      <c r="AJ72" s="66"/>
      <c r="AK72" s="335"/>
      <c r="AL72" s="58" t="s">
        <v>14</v>
      </c>
      <c r="AM72" s="334"/>
      <c r="AN72" s="339" t="s">
        <v>14</v>
      </c>
      <c r="AO72" s="325"/>
    </row>
    <row r="73" spans="1:44">
      <c r="A73" s="31"/>
      <c r="B73" s="31" t="s">
        <v>28</v>
      </c>
      <c r="C73" s="29"/>
      <c r="D73" s="31"/>
      <c r="E73" s="681">
        <f>+'Exhibit I State'!E72+'Exhibit I Federal'!E54</f>
        <v>0</v>
      </c>
      <c r="F73" s="1523"/>
      <c r="G73" s="681"/>
      <c r="H73" s="1523"/>
      <c r="I73" s="681"/>
      <c r="J73" s="1523"/>
      <c r="K73" s="681"/>
      <c r="L73" s="66"/>
      <c r="M73" s="681"/>
      <c r="N73" s="66"/>
      <c r="O73" s="681"/>
      <c r="P73" s="66"/>
      <c r="Q73" s="681"/>
      <c r="R73" s="66"/>
      <c r="S73" s="681"/>
      <c r="T73" s="66"/>
      <c r="U73" s="681"/>
      <c r="V73" s="66"/>
      <c r="W73" s="681"/>
      <c r="X73" s="66"/>
      <c r="Y73" s="681"/>
      <c r="Z73" s="66"/>
      <c r="AA73" s="681"/>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29</v>
      </c>
      <c r="C74" s="31"/>
      <c r="D74" s="31"/>
      <c r="E74" s="681">
        <f>+'Exhibit I State'!E73+'Exhibit I Federal'!E55</f>
        <v>45.1</v>
      </c>
      <c r="F74" s="1523"/>
      <c r="G74" s="681"/>
      <c r="H74" s="1523"/>
      <c r="I74" s="681"/>
      <c r="J74" s="1523"/>
      <c r="K74" s="681"/>
      <c r="L74" s="66"/>
      <c r="M74" s="681"/>
      <c r="N74" s="66"/>
      <c r="O74" s="681"/>
      <c r="P74" s="66"/>
      <c r="Q74" s="681"/>
      <c r="R74" s="66"/>
      <c r="S74" s="681"/>
      <c r="T74" s="66"/>
      <c r="U74" s="681"/>
      <c r="V74" s="66"/>
      <c r="W74" s="681"/>
      <c r="X74" s="66"/>
      <c r="Y74" s="681"/>
      <c r="Z74" s="66"/>
      <c r="AA74" s="681"/>
      <c r="AB74" s="277"/>
      <c r="AC74" s="277">
        <v>0</v>
      </c>
      <c r="AD74" s="66"/>
      <c r="AE74" s="57"/>
      <c r="AF74" s="889">
        <f t="shared" si="4"/>
        <v>45.1</v>
      </c>
      <c r="AG74" s="79"/>
      <c r="AH74" s="56"/>
      <c r="AI74" s="127">
        <f>+'Exhibit I State'!AG73+'Exhibit I Federal'!AG55</f>
        <v>29</v>
      </c>
      <c r="AJ74" s="77"/>
      <c r="AK74" s="333"/>
      <c r="AL74" s="58">
        <f t="shared" si="3"/>
        <v>16.100000000000001</v>
      </c>
      <c r="AM74" s="334"/>
      <c r="AN74" s="8">
        <f>ROUND(IF(AI74=0,0,AL74/ABS(AI74)),3)</f>
        <v>0.55500000000000005</v>
      </c>
    </row>
    <row r="75" spans="1:44">
      <c r="A75" s="31"/>
      <c r="B75" s="31" t="s">
        <v>30</v>
      </c>
      <c r="C75" s="31"/>
      <c r="D75" s="31"/>
      <c r="E75" s="681">
        <f>+'Exhibit I State'!E74+'Exhibit I Federal'!E56</f>
        <v>0.4</v>
      </c>
      <c r="F75" s="1523"/>
      <c r="G75" s="681"/>
      <c r="H75" s="1523"/>
      <c r="I75" s="681"/>
      <c r="J75" s="1523"/>
      <c r="K75" s="681"/>
      <c r="L75" s="66"/>
      <c r="M75" s="681"/>
      <c r="N75" s="66"/>
      <c r="O75" s="681"/>
      <c r="P75" s="66"/>
      <c r="Q75" s="681"/>
      <c r="R75" s="66"/>
      <c r="S75" s="681"/>
      <c r="T75" s="66"/>
      <c r="U75" s="681"/>
      <c r="V75" s="66"/>
      <c r="W75" s="681"/>
      <c r="X75" s="66"/>
      <c r="Y75" s="681"/>
      <c r="Z75" s="66"/>
      <c r="AA75" s="681"/>
      <c r="AB75" s="277"/>
      <c r="AC75" s="277">
        <v>0</v>
      </c>
      <c r="AD75" s="66"/>
      <c r="AE75" s="57"/>
      <c r="AF75" s="118">
        <f>ROUND(SUM(E75:AC75),1)</f>
        <v>0.4</v>
      </c>
      <c r="AG75" s="79"/>
      <c r="AH75" s="56"/>
      <c r="AI75" s="127">
        <f>+'Exhibit I State'!AG74+'Exhibit I Federal'!AG56</f>
        <v>0</v>
      </c>
      <c r="AJ75" s="77"/>
      <c r="AK75" s="333"/>
      <c r="AL75" s="58">
        <f t="shared" si="3"/>
        <v>0.4</v>
      </c>
      <c r="AM75" s="334"/>
      <c r="AN75" s="1458">
        <f>ROUND(IF(AI75=0,1,AL75/ABS(AI75)),3)</f>
        <v>1</v>
      </c>
      <c r="AO75" s="325"/>
    </row>
    <row r="76" spans="1:44">
      <c r="A76" s="31"/>
      <c r="B76" s="31" t="s">
        <v>31</v>
      </c>
      <c r="C76" s="31"/>
      <c r="D76" s="31"/>
      <c r="E76" s="681">
        <f>+'Exhibit I State'!E75+'Exhibit I Federal'!E57</f>
        <v>28.2</v>
      </c>
      <c r="F76" s="1523"/>
      <c r="G76" s="681"/>
      <c r="H76" s="1523"/>
      <c r="I76" s="681"/>
      <c r="J76" s="1523"/>
      <c r="K76" s="681"/>
      <c r="L76" s="66"/>
      <c r="M76" s="681"/>
      <c r="N76" s="66"/>
      <c r="O76" s="681"/>
      <c r="P76" s="66"/>
      <c r="Q76" s="681"/>
      <c r="R76" s="66"/>
      <c r="S76" s="681"/>
      <c r="T76" s="66"/>
      <c r="U76" s="681"/>
      <c r="V76" s="66"/>
      <c r="W76" s="681"/>
      <c r="X76" s="66"/>
      <c r="Y76" s="681"/>
      <c r="Z76" s="66"/>
      <c r="AA76" s="681"/>
      <c r="AB76" s="277"/>
      <c r="AC76" s="277">
        <v>0</v>
      </c>
      <c r="AD76" s="66"/>
      <c r="AE76" s="57"/>
      <c r="AF76" s="118">
        <f t="shared" si="4"/>
        <v>28.2</v>
      </c>
      <c r="AG76" s="79"/>
      <c r="AH76" s="56"/>
      <c r="AI76" s="127">
        <f>+'Exhibit I State'!AG75+'Exhibit I Federal'!AG57</f>
        <v>0</v>
      </c>
      <c r="AJ76" s="66"/>
      <c r="AK76" s="335"/>
      <c r="AL76" s="58">
        <f t="shared" si="3"/>
        <v>28.2</v>
      </c>
      <c r="AM76" s="334"/>
      <c r="AN76" s="1550">
        <f>ROUND(IF(AI76=0,1,AL76/ABS(AI76)),3)</f>
        <v>1</v>
      </c>
      <c r="AO76" s="325"/>
    </row>
    <row r="77" spans="1:44">
      <c r="A77" s="31"/>
      <c r="B77" s="31" t="s">
        <v>32</v>
      </c>
      <c r="C77" s="29"/>
      <c r="D77" s="31"/>
      <c r="E77" s="681">
        <f>+'Exhibit I State'!E76+'Exhibit I Federal'!E58</f>
        <v>21.200000000000003</v>
      </c>
      <c r="F77" s="1523"/>
      <c r="G77" s="681"/>
      <c r="H77" s="1523"/>
      <c r="I77" s="681"/>
      <c r="J77" s="1523"/>
      <c r="K77" s="681"/>
      <c r="L77" s="66"/>
      <c r="M77" s="681"/>
      <c r="N77" s="66"/>
      <c r="O77" s="681"/>
      <c r="P77" s="66"/>
      <c r="Q77" s="681"/>
      <c r="R77" s="66"/>
      <c r="S77" s="681"/>
      <c r="T77" s="66"/>
      <c r="U77" s="681"/>
      <c r="V77" s="66"/>
      <c r="W77" s="681"/>
      <c r="X77" s="66"/>
      <c r="Y77" s="681"/>
      <c r="Z77" s="66"/>
      <c r="AA77" s="681"/>
      <c r="AB77" s="277"/>
      <c r="AC77" s="277">
        <v>0</v>
      </c>
      <c r="AD77" s="66"/>
      <c r="AE77" s="57"/>
      <c r="AF77" s="118">
        <f t="shared" si="4"/>
        <v>21.2</v>
      </c>
      <c r="AG77" s="79"/>
      <c r="AH77" s="56"/>
      <c r="AI77" s="127">
        <f>+'Exhibit I State'!AG76+'Exhibit I Federal'!AG58</f>
        <v>43.2</v>
      </c>
      <c r="AJ77" s="66"/>
      <c r="AK77" s="335"/>
      <c r="AL77" s="58">
        <f t="shared" si="3"/>
        <v>-22</v>
      </c>
      <c r="AM77" s="334"/>
      <c r="AN77" s="1550">
        <f>ROUND(IF(AI77=0,0,AL77/ABS(AI77)),3)</f>
        <v>-0.50900000000000001</v>
      </c>
      <c r="AO77" s="325"/>
    </row>
    <row r="78" spans="1:44">
      <c r="A78" s="31"/>
      <c r="B78" s="31" t="s">
        <v>33</v>
      </c>
      <c r="C78" s="31"/>
      <c r="D78" s="31"/>
      <c r="E78" s="681">
        <f>+'Exhibit I State'!E77+'Exhibit I Federal'!E59</f>
        <v>181.70000000000002</v>
      </c>
      <c r="F78" s="1523"/>
      <c r="G78" s="681"/>
      <c r="H78" s="1523"/>
      <c r="I78" s="681"/>
      <c r="J78" s="1523"/>
      <c r="K78" s="681"/>
      <c r="L78" s="66"/>
      <c r="M78" s="681"/>
      <c r="N78" s="66"/>
      <c r="O78" s="681"/>
      <c r="P78" s="66"/>
      <c r="Q78" s="681"/>
      <c r="R78" s="66"/>
      <c r="S78" s="681"/>
      <c r="T78" s="66"/>
      <c r="U78" s="681"/>
      <c r="V78" s="66"/>
      <c r="W78" s="681"/>
      <c r="X78" s="66"/>
      <c r="Y78" s="681"/>
      <c r="Z78" s="66"/>
      <c r="AA78" s="681"/>
      <c r="AB78" s="277"/>
      <c r="AC78" s="277">
        <v>0</v>
      </c>
      <c r="AD78" s="66"/>
      <c r="AE78" s="57"/>
      <c r="AF78" s="118">
        <f>ROUND(SUM(E78:AC78),1)</f>
        <v>181.7</v>
      </c>
      <c r="AG78" s="79"/>
      <c r="AH78" s="56"/>
      <c r="AI78" s="1038">
        <f>+'Exhibit I State'!AG77+'Exhibit I Federal'!AG59</f>
        <v>24.4</v>
      </c>
      <c r="AJ78" s="56"/>
      <c r="AK78" s="335"/>
      <c r="AL78" s="58">
        <f>ROUND(SUM(+AF78-AI78),1)</f>
        <v>157.30000000000001</v>
      </c>
      <c r="AM78" s="325"/>
      <c r="AN78" s="1420">
        <f>ROUND(IF(AI78=0,0,AL78/ABS(AI78)),3)</f>
        <v>6.4470000000000001</v>
      </c>
      <c r="AO78" s="325"/>
    </row>
    <row r="79" spans="1:44">
      <c r="A79" s="31"/>
      <c r="B79" s="29" t="s">
        <v>196</v>
      </c>
      <c r="C79" s="31"/>
      <c r="D79" s="31"/>
      <c r="E79" s="294">
        <f>ROUND(SUM(E69:E78),1)</f>
        <v>331.8</v>
      </c>
      <c r="F79" s="916"/>
      <c r="G79" s="294">
        <f>ROUND(SUM(G69:G78),1)</f>
        <v>0</v>
      </c>
      <c r="H79" s="916"/>
      <c r="I79" s="294">
        <f>ROUND(SUM(I69:I78),1)</f>
        <v>0</v>
      </c>
      <c r="J79" s="1524"/>
      <c r="K79" s="294">
        <f>ROUND(SUM(K69:K78),1)</f>
        <v>0</v>
      </c>
      <c r="L79" s="76"/>
      <c r="M79" s="294">
        <f>ROUND(SUM(M69:M78),1)</f>
        <v>0</v>
      </c>
      <c r="N79" s="76"/>
      <c r="O79" s="294">
        <f>ROUND(SUM(O69:O78),1)</f>
        <v>0</v>
      </c>
      <c r="P79" s="62"/>
      <c r="Q79" s="294">
        <f>ROUND(SUM(Q69:Q78),1)</f>
        <v>0</v>
      </c>
      <c r="R79" s="62"/>
      <c r="S79" s="1090">
        <f>ROUND(SUM(S69:S78),1)</f>
        <v>0</v>
      </c>
      <c r="T79" s="62"/>
      <c r="U79" s="294">
        <f>ROUND(SUM(U69:U78),1)</f>
        <v>0</v>
      </c>
      <c r="V79" s="62"/>
      <c r="W79" s="294">
        <f>ROUND(SUM(W69:W78),1)</f>
        <v>0</v>
      </c>
      <c r="X79" s="62"/>
      <c r="Y79" s="294">
        <f>ROUND(SUM(Y69:Y78),1)</f>
        <v>0</v>
      </c>
      <c r="Z79" s="62"/>
      <c r="AA79" s="294">
        <f>ROUND(SUM(AA69:AA78),1)</f>
        <v>0</v>
      </c>
      <c r="AB79" s="1524"/>
      <c r="AC79" s="294">
        <f>ROUND(SUM(AC69:AC78),1)</f>
        <v>0</v>
      </c>
      <c r="AD79" s="62"/>
      <c r="AE79" s="64"/>
      <c r="AF79" s="1090">
        <f>ROUND(SUM(AF69:AF78),1)</f>
        <v>331.8</v>
      </c>
      <c r="AG79" s="216"/>
      <c r="AH79" s="76"/>
      <c r="AI79" s="1090">
        <f>ROUND(SUM(AI69:AI78),1)</f>
        <v>143.4</v>
      </c>
      <c r="AJ79" s="76"/>
      <c r="AK79" s="335"/>
      <c r="AL79" s="294">
        <f>ROUND(SUM(AL69:AL78),1)</f>
        <v>188.4</v>
      </c>
      <c r="AM79" s="341"/>
      <c r="AN79" s="894">
        <f>ROUND(SUM(AL79/AI79),3)</f>
        <v>1.3140000000000001</v>
      </c>
      <c r="AO79" s="330"/>
      <c r="AP79" s="338"/>
      <c r="AQ79" s="330"/>
      <c r="AR79" s="330"/>
    </row>
    <row r="80" spans="1:44">
      <c r="A80" s="31"/>
      <c r="B80" s="31" t="s">
        <v>197</v>
      </c>
      <c r="C80" s="31"/>
      <c r="D80" s="31"/>
      <c r="E80" s="1523"/>
      <c r="F80" s="1523"/>
      <c r="G80" s="1523"/>
      <c r="H80" s="1523"/>
      <c r="I80" s="1523"/>
      <c r="J80" s="1523"/>
      <c r="K80" s="1523"/>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198</v>
      </c>
      <c r="C81" s="31"/>
      <c r="D81" s="31"/>
      <c r="E81" s="681">
        <f>+'Exhibit I State'!E80+'Exhibit I Federal'!E62</f>
        <v>0</v>
      </c>
      <c r="F81" s="1523"/>
      <c r="G81" s="681"/>
      <c r="H81" s="1523"/>
      <c r="I81" s="681"/>
      <c r="J81" s="1523"/>
      <c r="K81" s="681"/>
      <c r="L81" s="66"/>
      <c r="M81" s="681"/>
      <c r="N81" s="66"/>
      <c r="O81" s="681"/>
      <c r="P81" s="66"/>
      <c r="Q81" s="681"/>
      <c r="R81" s="66"/>
      <c r="S81" s="681"/>
      <c r="T81" s="66"/>
      <c r="U81" s="681"/>
      <c r="V81" s="66"/>
      <c r="W81" s="681"/>
      <c r="X81" s="66"/>
      <c r="Y81" s="681"/>
      <c r="Z81" s="66"/>
      <c r="AA81" s="681"/>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199</v>
      </c>
      <c r="C82" s="31"/>
      <c r="D82" s="31"/>
      <c r="E82" s="681">
        <f>+'Exhibit I State'!E81+'Exhibit I Federal'!E63</f>
        <v>0</v>
      </c>
      <c r="F82" s="1523"/>
      <c r="G82" s="681"/>
      <c r="H82" s="1523"/>
      <c r="I82" s="681"/>
      <c r="J82" s="1523"/>
      <c r="K82" s="681"/>
      <c r="L82" s="66"/>
      <c r="M82" s="681"/>
      <c r="N82" s="66"/>
      <c r="O82" s="681"/>
      <c r="P82" s="66"/>
      <c r="Q82" s="681"/>
      <c r="R82" s="66"/>
      <c r="S82" s="681"/>
      <c r="T82" s="66"/>
      <c r="U82" s="681"/>
      <c r="V82" s="66"/>
      <c r="W82" s="681"/>
      <c r="X82" s="66"/>
      <c r="Y82" s="681"/>
      <c r="Z82" s="66"/>
      <c r="AA82" s="681"/>
      <c r="AB82" s="277"/>
      <c r="AC82" s="277">
        <v>0</v>
      </c>
      <c r="AD82" s="66"/>
      <c r="AE82" s="57"/>
      <c r="AF82" s="3844">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200</v>
      </c>
      <c r="C83" s="31"/>
      <c r="D83" s="31"/>
      <c r="E83" s="681">
        <f>+'Exhibit I State'!E82+'Exhibit I Federal'!E64</f>
        <v>0</v>
      </c>
      <c r="F83" s="1523"/>
      <c r="G83" s="681"/>
      <c r="H83" s="1523"/>
      <c r="I83" s="681"/>
      <c r="J83" s="1523"/>
      <c r="K83" s="681"/>
      <c r="L83" s="66"/>
      <c r="M83" s="681"/>
      <c r="N83" s="66"/>
      <c r="O83" s="681"/>
      <c r="P83" s="66"/>
      <c r="Q83" s="681"/>
      <c r="R83" s="66"/>
      <c r="S83" s="681"/>
      <c r="T83" s="66"/>
      <c r="U83" s="681"/>
      <c r="V83" s="66"/>
      <c r="W83" s="681"/>
      <c r="X83" s="66"/>
      <c r="Y83" s="681"/>
      <c r="Z83" s="343"/>
      <c r="AA83" s="681"/>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171</v>
      </c>
      <c r="C84" s="31"/>
      <c r="D84" s="31"/>
      <c r="E84" s="681">
        <f>+'Exhibit I State'!E83+'Exhibit I Federal'!E65</f>
        <v>398.20000000000005</v>
      </c>
      <c r="F84" s="1523"/>
      <c r="G84" s="681"/>
      <c r="H84" s="655"/>
      <c r="I84" s="681"/>
      <c r="J84" s="655"/>
      <c r="K84" s="681"/>
      <c r="L84" s="66"/>
      <c r="M84" s="681"/>
      <c r="N84" s="66"/>
      <c r="O84" s="681"/>
      <c r="P84" s="66"/>
      <c r="Q84" s="681"/>
      <c r="R84" s="66"/>
      <c r="S84" s="681"/>
      <c r="T84" s="66"/>
      <c r="U84" s="681"/>
      <c r="V84" s="66"/>
      <c r="W84" s="681"/>
      <c r="X84" s="66"/>
      <c r="Y84" s="681"/>
      <c r="Z84" s="66"/>
      <c r="AA84" s="681"/>
      <c r="AB84" s="277"/>
      <c r="AC84" s="277">
        <v>0</v>
      </c>
      <c r="AD84" s="66"/>
      <c r="AE84" s="57"/>
      <c r="AF84" s="119">
        <f>ROUND(SUM(E84:AC84),1)</f>
        <v>398.2</v>
      </c>
      <c r="AG84" s="79"/>
      <c r="AH84" s="56"/>
      <c r="AI84" s="3452">
        <f>+'Exhibit I State'!AG83+'Exhibit I Federal'!AG65</f>
        <v>509.8</v>
      </c>
      <c r="AJ84" s="78"/>
      <c r="AK84" s="333"/>
      <c r="AL84" s="336">
        <f>ROUND(SUM(+AF84-AI84),1)</f>
        <v>-111.6</v>
      </c>
      <c r="AM84" s="325"/>
      <c r="AN84" s="1420">
        <f>ROUND(IF(AI84=0,1,AL84/ABS(AI84)),3)</f>
        <v>-0.219</v>
      </c>
    </row>
    <row r="85" spans="1:44">
      <c r="A85" s="31"/>
      <c r="B85" s="31"/>
      <c r="C85" s="31"/>
      <c r="D85" s="31"/>
      <c r="E85" s="682"/>
      <c r="F85" s="1523"/>
      <c r="G85" s="682"/>
      <c r="H85" s="1523"/>
      <c r="I85" s="682"/>
      <c r="J85" s="1523"/>
      <c r="K85" s="682"/>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201</v>
      </c>
      <c r="C86" s="31"/>
      <c r="D86" s="31"/>
      <c r="E86" s="916">
        <f>ROUND(SUM(+E84+E79),1)</f>
        <v>730</v>
      </c>
      <c r="F86" s="916"/>
      <c r="G86" s="916">
        <f>ROUND(SUM(+G84+G79),1)</f>
        <v>0</v>
      </c>
      <c r="H86" s="916"/>
      <c r="I86" s="916">
        <f>ROUND(SUM(+I84+I79),1)</f>
        <v>0</v>
      </c>
      <c r="J86" s="916"/>
      <c r="K86" s="916">
        <f>ROUND(SUM(+K84+K79),1)</f>
        <v>0</v>
      </c>
      <c r="L86" s="62"/>
      <c r="M86" s="916">
        <f>ROUND(SUM(+M84+M79),1)</f>
        <v>0</v>
      </c>
      <c r="N86" s="62"/>
      <c r="O86" s="916">
        <f>ROUND(SUM(+O84+O79),1)</f>
        <v>0</v>
      </c>
      <c r="P86" s="62"/>
      <c r="Q86" s="916">
        <f>ROUND(SUM(+Q84+Q79),1)</f>
        <v>0</v>
      </c>
      <c r="R86" s="62"/>
      <c r="S86" s="112">
        <f>ROUND(SUM(+S84+S79),1)</f>
        <v>0</v>
      </c>
      <c r="T86" s="62"/>
      <c r="U86" s="916">
        <f>ROUND(SUM(+U84+U79),1)</f>
        <v>0</v>
      </c>
      <c r="V86" s="62"/>
      <c r="W86" s="916">
        <f>ROUND(SUM(+W84+W79),1)</f>
        <v>0</v>
      </c>
      <c r="X86" s="62"/>
      <c r="Y86" s="916">
        <f>ROUND(SUM(+Y84+Y79),1)</f>
        <v>0</v>
      </c>
      <c r="Z86" s="62"/>
      <c r="AA86" s="916">
        <f>ROUND(SUM(+AA84+AA79),1)</f>
        <v>0</v>
      </c>
      <c r="AB86" s="916"/>
      <c r="AC86" s="916">
        <f>ROUND(SUM(+AC84+AC79),1)</f>
        <v>0</v>
      </c>
      <c r="AD86" s="62"/>
      <c r="AE86" s="64"/>
      <c r="AF86" s="112">
        <f>ROUND(SUM(+AF84+AF79+AF81+AF82+AF83),1)</f>
        <v>730</v>
      </c>
      <c r="AG86" s="216"/>
      <c r="AH86" s="76"/>
      <c r="AI86" s="112">
        <f>ROUND(SUM(+AI84+AI79+AI81+AI82+AI83),1)</f>
        <v>653.20000000000005</v>
      </c>
      <c r="AJ86" s="76"/>
      <c r="AK86" s="335"/>
      <c r="AL86" s="74">
        <f>ROUND(SUM(AL79+AL84+AL81+AL82+AL83),1)</f>
        <v>76.8</v>
      </c>
      <c r="AM86" s="341"/>
      <c r="AN86" s="299">
        <f>ROUND(SUM(AL86/AI86),3)</f>
        <v>0.11799999999999999</v>
      </c>
      <c r="AO86" s="330"/>
      <c r="AP86" s="338"/>
      <c r="AQ86" s="330"/>
      <c r="AR86" s="330"/>
    </row>
    <row r="87" spans="1:44">
      <c r="A87" s="31"/>
      <c r="B87" s="31"/>
      <c r="C87" s="31"/>
      <c r="D87" s="31"/>
      <c r="E87" s="682"/>
      <c r="F87" s="1523"/>
      <c r="G87" s="682"/>
      <c r="H87" s="1523"/>
      <c r="I87" s="682"/>
      <c r="J87" s="1523"/>
      <c r="K87" s="682"/>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202</v>
      </c>
      <c r="C88" s="31"/>
      <c r="D88" s="31"/>
      <c r="E88" s="1523"/>
      <c r="F88" s="1523"/>
      <c r="G88" s="1523"/>
      <c r="H88" s="1523"/>
      <c r="I88" s="1523"/>
      <c r="J88" s="1523"/>
      <c r="K88" s="1523"/>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203</v>
      </c>
      <c r="C89" s="31"/>
      <c r="D89" s="31"/>
      <c r="E89" s="916">
        <f>ROUND(SUM(E65-E86),1)</f>
        <v>-458.3</v>
      </c>
      <c r="F89" s="916"/>
      <c r="G89" s="916">
        <f>ROUND(SUM(G65-G86),1)</f>
        <v>0</v>
      </c>
      <c r="H89" s="916"/>
      <c r="I89" s="916">
        <f>ROUND(SUM(I65-I86),1)</f>
        <v>0</v>
      </c>
      <c r="J89" s="916"/>
      <c r="K89" s="916">
        <f>ROUND(SUM(K65-K86),1)</f>
        <v>0</v>
      </c>
      <c r="L89" s="62"/>
      <c r="M89" s="916">
        <f>ROUND(SUM(M65-M86),1)</f>
        <v>0</v>
      </c>
      <c r="N89" s="62"/>
      <c r="O89" s="916">
        <f>ROUND(SUM(O65-O86),1)</f>
        <v>0</v>
      </c>
      <c r="P89" s="62"/>
      <c r="Q89" s="916">
        <f>ROUND(SUM(Q65-Q86),1)</f>
        <v>0</v>
      </c>
      <c r="R89" s="62"/>
      <c r="S89" s="112">
        <f>ROUND(SUM(S65-S86),1)</f>
        <v>0</v>
      </c>
      <c r="T89" s="62"/>
      <c r="U89" s="916">
        <f>ROUND(SUM(U65-U86),1)</f>
        <v>0</v>
      </c>
      <c r="V89" s="62"/>
      <c r="W89" s="916">
        <f>ROUND(SUM(W65-W86),1)</f>
        <v>0</v>
      </c>
      <c r="X89" s="62"/>
      <c r="Y89" s="916">
        <f>ROUND(SUM(Y65-Y86),1)</f>
        <v>0</v>
      </c>
      <c r="Z89" s="62"/>
      <c r="AA89" s="916">
        <f>ROUND(SUM(AA65-AA86),1)</f>
        <v>0</v>
      </c>
      <c r="AB89" s="916"/>
      <c r="AC89" s="916">
        <f>ROUND(SUM(AC65-AC86),1)</f>
        <v>0</v>
      </c>
      <c r="AD89" s="62"/>
      <c r="AE89" s="64"/>
      <c r="AF89" s="112">
        <f>ROUND(SUM(AF65-AF86),1)</f>
        <v>-458.3</v>
      </c>
      <c r="AG89" s="216"/>
      <c r="AH89" s="76"/>
      <c r="AI89" s="112">
        <f>ROUND(SUM(AI65-AI86),1)</f>
        <v>697.3</v>
      </c>
      <c r="AJ89" s="76"/>
      <c r="AK89" s="335"/>
      <c r="AL89" s="74">
        <f>ROUND(SUM(AL65-AL86),1)</f>
        <v>-1155.5999999999999</v>
      </c>
      <c r="AM89" s="341"/>
      <c r="AN89" s="299">
        <f>ROUND(IF(AI89=0,0,AL89/ABS(AI89)),3)</f>
        <v>-1.657</v>
      </c>
      <c r="AO89" s="330"/>
      <c r="AP89" s="330"/>
      <c r="AQ89" s="330"/>
      <c r="AR89" s="330"/>
    </row>
    <row r="90" spans="1:44">
      <c r="A90" s="31"/>
      <c r="B90" s="31"/>
      <c r="C90" s="31"/>
      <c r="D90" s="31"/>
      <c r="E90" s="682"/>
      <c r="F90" s="1523"/>
      <c r="G90" s="682"/>
      <c r="H90" s="1523"/>
      <c r="I90" s="682"/>
      <c r="J90" s="1523"/>
      <c r="K90" s="682"/>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204</v>
      </c>
      <c r="C91" s="31"/>
      <c r="D91" s="31"/>
      <c r="E91" s="1523"/>
      <c r="F91" s="1523"/>
      <c r="G91" s="1523"/>
      <c r="H91" s="1523"/>
      <c r="I91" s="1523"/>
      <c r="J91" s="1523"/>
      <c r="K91" s="1523"/>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84" customFormat="1">
      <c r="A92" s="107"/>
      <c r="B92" s="988" t="s">
        <v>1386</v>
      </c>
      <c r="C92" s="107"/>
      <c r="D92" s="107"/>
      <c r="E92" s="681">
        <f>+'Exhibit I State'!E91+'Exhibit I Federal'!E73</f>
        <v>0</v>
      </c>
      <c r="F92" s="1523"/>
      <c r="G92" s="681"/>
      <c r="H92" s="655"/>
      <c r="I92" s="681"/>
      <c r="J92" s="1523"/>
      <c r="K92" s="681"/>
      <c r="L92" s="118"/>
      <c r="M92" s="681"/>
      <c r="N92" s="357"/>
      <c r="O92" s="681"/>
      <c r="P92" s="118"/>
      <c r="Q92" s="681"/>
      <c r="R92" s="118"/>
      <c r="S92" s="681"/>
      <c r="T92" s="118"/>
      <c r="U92" s="681"/>
      <c r="V92" s="118"/>
      <c r="W92" s="681"/>
      <c r="X92" s="118"/>
      <c r="Y92" s="681"/>
      <c r="Z92" s="118"/>
      <c r="AA92" s="681"/>
      <c r="AB92" s="1074"/>
      <c r="AC92" s="1074">
        <v>0</v>
      </c>
      <c r="AD92" s="118"/>
      <c r="AE92" s="673"/>
      <c r="AF92" s="119">
        <f>ROUND(SUM(E92:AC92),1)</f>
        <v>0</v>
      </c>
      <c r="AG92" s="1075"/>
      <c r="AH92" s="67"/>
      <c r="AI92" s="127">
        <f>+'Exhibit I State'!AG91+'Exhibit I Federal'!AG73</f>
        <v>0</v>
      </c>
      <c r="AJ92" s="127"/>
      <c r="AK92" s="1102"/>
      <c r="AL92" s="1785">
        <f>ROUND(SUM(+AF92-AI92),1)</f>
        <v>0</v>
      </c>
      <c r="AM92" s="1077"/>
      <c r="AN92" s="1642">
        <f>ROUND(IF(AI92=0,0,AL92/ABS(AI92)),3)</f>
        <v>0</v>
      </c>
    </row>
    <row r="93" spans="1:44" s="1084" customFormat="1">
      <c r="A93" s="107"/>
      <c r="B93" s="1718" t="s">
        <v>172</v>
      </c>
      <c r="C93" s="107"/>
      <c r="D93" s="107"/>
      <c r="E93" s="681">
        <f>+'Exhibit I State'!E92+'Exhibit I Federal'!E73</f>
        <v>488.9</v>
      </c>
      <c r="F93" s="1523"/>
      <c r="G93" s="681"/>
      <c r="H93" s="681"/>
      <c r="I93" s="681"/>
      <c r="J93" s="1523"/>
      <c r="K93" s="681"/>
      <c r="L93" s="118"/>
      <c r="M93" s="681"/>
      <c r="N93" s="118"/>
      <c r="O93" s="681"/>
      <c r="P93" s="118"/>
      <c r="Q93" s="681"/>
      <c r="R93" s="118"/>
      <c r="S93" s="681"/>
      <c r="T93" s="118"/>
      <c r="U93" s="681"/>
      <c r="V93" s="118"/>
      <c r="W93" s="681"/>
      <c r="X93" s="118"/>
      <c r="Y93" s="681"/>
      <c r="Z93" s="118"/>
      <c r="AA93" s="681"/>
      <c r="AB93" s="3421"/>
      <c r="AC93" s="1781">
        <v>0</v>
      </c>
      <c r="AD93" s="118"/>
      <c r="AE93" s="673"/>
      <c r="AF93" s="119">
        <f>ROUND(SUM(E93:AC93),1)</f>
        <v>488.9</v>
      </c>
      <c r="AG93" s="1075"/>
      <c r="AH93" s="67"/>
      <c r="AI93" s="118">
        <v>-805.1</v>
      </c>
      <c r="AJ93" s="119"/>
      <c r="AK93" s="1076"/>
      <c r="AL93" s="1785">
        <f>ROUND(SUM(+AF93-AI93),1)</f>
        <v>1294</v>
      </c>
      <c r="AM93" s="1096"/>
      <c r="AN93" s="1786">
        <f>ROUND(IF(AI93=0,0,AL93/ABS(AI93)),3)</f>
        <v>1.607</v>
      </c>
      <c r="AO93" s="1096"/>
      <c r="AP93" s="1097"/>
    </row>
    <row r="94" spans="1:44">
      <c r="A94" s="31"/>
      <c r="B94" s="54" t="s">
        <v>205</v>
      </c>
      <c r="C94" s="31"/>
      <c r="D94" s="31"/>
      <c r="E94" s="681">
        <f>+'Exhibit I State'!E93+'Exhibit I Federal'!E74</f>
        <v>-8.4</v>
      </c>
      <c r="F94" s="1523"/>
      <c r="G94" s="681"/>
      <c r="H94" s="1523"/>
      <c r="I94" s="681"/>
      <c r="J94" s="1523"/>
      <c r="K94" s="681"/>
      <c r="L94" s="118"/>
      <c r="M94" s="681"/>
      <c r="N94" s="118"/>
      <c r="O94" s="681"/>
      <c r="P94" s="118"/>
      <c r="Q94" s="681"/>
      <c r="R94" s="118"/>
      <c r="S94" s="681"/>
      <c r="T94" s="118"/>
      <c r="U94" s="681"/>
      <c r="V94" s="118"/>
      <c r="W94" s="681"/>
      <c r="X94" s="118"/>
      <c r="Y94" s="681"/>
      <c r="Z94" s="118"/>
      <c r="AA94" s="681"/>
      <c r="AB94" s="3421"/>
      <c r="AC94" s="3410">
        <v>0</v>
      </c>
      <c r="AD94" s="66"/>
      <c r="AE94" s="57"/>
      <c r="AF94" s="119">
        <f>ROUND(SUM(E94:AC94),1)</f>
        <v>-8.4</v>
      </c>
      <c r="AG94" s="79"/>
      <c r="AH94" s="56"/>
      <c r="AI94" s="3823">
        <v>-12.3</v>
      </c>
      <c r="AJ94" s="56"/>
      <c r="AK94" s="335"/>
      <c r="AL94" s="891">
        <f>ROUND(-SUM(+AF94-AI94),1)</f>
        <v>-3.9</v>
      </c>
      <c r="AM94" s="325"/>
      <c r="AN94" s="897">
        <f>ROUND(IF(AI94=0,0,AL94/ABS(AI94)),3)</f>
        <v>-0.317</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1103</v>
      </c>
      <c r="C96" s="31"/>
      <c r="D96" s="31"/>
      <c r="E96" s="62">
        <f>ROUND(SUM(E92:E95),1)</f>
        <v>480.5</v>
      </c>
      <c r="F96" s="62"/>
      <c r="G96" s="916">
        <f>ROUND(SUM(G92:G95),1)</f>
        <v>0</v>
      </c>
      <c r="H96" s="62"/>
      <c r="I96" s="916">
        <f>ROUND(SUM(I92:I95),1)</f>
        <v>0</v>
      </c>
      <c r="J96" s="62"/>
      <c r="K96" s="916">
        <f>ROUND(SUM(K92:K95),1)</f>
        <v>0</v>
      </c>
      <c r="L96" s="62"/>
      <c r="M96" s="916">
        <f>ROUND(SUM(M92:M95),1)</f>
        <v>0</v>
      </c>
      <c r="N96" s="62"/>
      <c r="O96" s="916">
        <f>ROUND(SUM(O92:O95),1)</f>
        <v>0</v>
      </c>
      <c r="P96" s="62"/>
      <c r="Q96" s="916">
        <f>ROUND(SUM(Q92:Q95),1)</f>
        <v>0</v>
      </c>
      <c r="R96" s="62"/>
      <c r="S96" s="112">
        <f>ROUND(SUM(S92:S95),1)</f>
        <v>0</v>
      </c>
      <c r="T96" s="62"/>
      <c r="U96" s="916">
        <f>ROUND(SUM(U92:U95),1)</f>
        <v>0</v>
      </c>
      <c r="V96" s="62"/>
      <c r="W96" s="916">
        <f>ROUND(SUM(W92:W95),1)</f>
        <v>0</v>
      </c>
      <c r="X96" s="62"/>
      <c r="Y96" s="916">
        <f>ROUND(SUM(Y92:Y95),1)</f>
        <v>0</v>
      </c>
      <c r="Z96" s="62"/>
      <c r="AA96" s="916">
        <f>ROUND(SUM(AA92:AA95),1)</f>
        <v>0</v>
      </c>
      <c r="AB96" s="916"/>
      <c r="AC96" s="916">
        <f>ROUND(SUM(AC92:AC95),1)</f>
        <v>0</v>
      </c>
      <c r="AD96" s="62"/>
      <c r="AE96" s="64"/>
      <c r="AF96" s="112">
        <f>ROUND(SUM(AF92:AF95),1)</f>
        <v>480.5</v>
      </c>
      <c r="AG96" s="216"/>
      <c r="AH96" s="76"/>
      <c r="AI96" s="112">
        <f>ROUND(SUM(AI92:AI95),1)</f>
        <v>-817.4</v>
      </c>
      <c r="AJ96" s="76"/>
      <c r="AK96" s="335"/>
      <c r="AL96" s="74">
        <f>ROUND(SUM(AF96-AI96),1)</f>
        <v>1297.9000000000001</v>
      </c>
      <c r="AM96" s="341"/>
      <c r="AN96" s="348">
        <f>ROUND(SUM(AL96/ABS(AI96)),3)</f>
        <v>1.5880000000000001</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14</v>
      </c>
      <c r="J98" s="66"/>
      <c r="K98" s="66" t="s">
        <v>14</v>
      </c>
      <c r="L98" s="66"/>
      <c r="M98" s="66" t="s">
        <v>14</v>
      </c>
      <c r="N98" s="66"/>
      <c r="O98" s="66" t="s">
        <v>14</v>
      </c>
      <c r="P98" s="66"/>
      <c r="Q98" s="66" t="s">
        <v>14</v>
      </c>
      <c r="R98" s="66"/>
      <c r="S98" s="66" t="s">
        <v>14</v>
      </c>
      <c r="T98" s="66"/>
      <c r="U98" s="66" t="s">
        <v>14</v>
      </c>
      <c r="V98" s="66"/>
      <c r="W98" s="66" t="s">
        <v>14</v>
      </c>
      <c r="X98" s="66"/>
      <c r="Y98" s="66" t="s">
        <v>14</v>
      </c>
      <c r="Z98" s="66"/>
      <c r="AA98" s="66" t="s">
        <v>14</v>
      </c>
      <c r="AB98" s="66"/>
      <c r="AC98" s="1523" t="s">
        <v>14</v>
      </c>
      <c r="AD98" s="66"/>
      <c r="AE98" s="57"/>
      <c r="AF98" s="66" t="s">
        <v>14</v>
      </c>
      <c r="AG98" s="79"/>
      <c r="AH98" s="56"/>
      <c r="AI98" s="118" t="s">
        <v>14</v>
      </c>
      <c r="AJ98" s="66"/>
      <c r="AK98" s="335"/>
      <c r="AL98" s="58" t="s">
        <v>14</v>
      </c>
      <c r="AM98" s="325"/>
      <c r="AN98" s="332"/>
    </row>
    <row r="99" spans="1:55">
      <c r="A99" s="31"/>
      <c r="B99" s="29" t="s">
        <v>207</v>
      </c>
      <c r="C99" s="31"/>
      <c r="D99" s="31"/>
      <c r="E99" s="66"/>
      <c r="F99" s="66"/>
      <c r="G99" s="66"/>
      <c r="H99" s="66"/>
      <c r="I99" s="66" t="s">
        <v>14</v>
      </c>
      <c r="J99" s="66"/>
      <c r="K99" s="66" t="s">
        <v>14</v>
      </c>
      <c r="L99" s="66"/>
      <c r="M99" s="66" t="s">
        <v>14</v>
      </c>
      <c r="N99" s="66"/>
      <c r="O99" s="66" t="s">
        <v>14</v>
      </c>
      <c r="P99" s="66"/>
      <c r="Q99" s="66" t="s">
        <v>14</v>
      </c>
      <c r="R99" s="66"/>
      <c r="S99" s="66" t="s">
        <v>14</v>
      </c>
      <c r="T99" s="66"/>
      <c r="U99" s="66" t="s">
        <v>14</v>
      </c>
      <c r="V99" s="66"/>
      <c r="W99" s="66" t="s">
        <v>14</v>
      </c>
      <c r="X99" s="66"/>
      <c r="Y99" s="66" t="s">
        <v>14</v>
      </c>
      <c r="Z99" s="66"/>
      <c r="AA99" s="66" t="s">
        <v>14</v>
      </c>
      <c r="AB99" s="66"/>
      <c r="AC99" s="66" t="s">
        <v>14</v>
      </c>
      <c r="AD99" s="66"/>
      <c r="AE99" s="57"/>
      <c r="AF99" s="66"/>
      <c r="AG99" s="79"/>
      <c r="AH99" s="56"/>
      <c r="AI99" s="118" t="s">
        <v>14</v>
      </c>
      <c r="AJ99" s="66"/>
      <c r="AK99" s="335"/>
      <c r="AL99" s="58"/>
      <c r="AM99" s="325"/>
      <c r="AN99" s="332"/>
    </row>
    <row r="100" spans="1:55">
      <c r="A100" s="31"/>
      <c r="B100" s="29" t="s">
        <v>208</v>
      </c>
      <c r="C100" s="31"/>
      <c r="D100" s="31"/>
      <c r="E100" s="62" t="s">
        <v>14</v>
      </c>
      <c r="F100" s="62"/>
      <c r="G100" s="916" t="s">
        <v>14</v>
      </c>
      <c r="H100" s="62"/>
      <c r="I100" s="62"/>
      <c r="J100" s="62"/>
      <c r="K100" s="916"/>
      <c r="L100" s="62"/>
      <c r="M100" s="916"/>
      <c r="N100" s="62"/>
      <c r="O100" s="916"/>
      <c r="P100" s="62"/>
      <c r="Q100" s="916"/>
      <c r="R100" s="62"/>
      <c r="S100" s="916"/>
      <c r="T100" s="62"/>
      <c r="U100" s="916"/>
      <c r="V100" s="62"/>
      <c r="W100" s="916"/>
      <c r="X100" s="62"/>
      <c r="Y100" s="916"/>
      <c r="Z100" s="62"/>
      <c r="AA100" s="916"/>
      <c r="AB100" s="916"/>
      <c r="AC100" s="916"/>
      <c r="AD100" s="62"/>
      <c r="AE100" s="64"/>
      <c r="AF100" s="62" t="s">
        <v>14</v>
      </c>
      <c r="AG100" s="216"/>
      <c r="AH100" s="76"/>
      <c r="AI100" s="3453"/>
      <c r="AJ100" s="346"/>
      <c r="AK100" s="345"/>
      <c r="AL100" s="346"/>
      <c r="AM100" s="341"/>
      <c r="AN100" s="329"/>
      <c r="AO100" s="330"/>
      <c r="AP100" s="330"/>
      <c r="AQ100" s="330"/>
      <c r="AR100" s="330"/>
      <c r="AS100" s="330"/>
      <c r="AT100" s="330"/>
      <c r="AU100" s="330"/>
      <c r="AV100" s="330"/>
      <c r="AW100" s="330"/>
      <c r="AX100" s="330"/>
      <c r="AY100" s="330"/>
    </row>
    <row r="101" spans="1:55">
      <c r="A101" s="31"/>
      <c r="B101" s="29" t="s">
        <v>1094</v>
      </c>
      <c r="C101" s="31"/>
      <c r="D101" s="31"/>
      <c r="E101" s="347">
        <f>ROUND(SUM(E89+E96),1)</f>
        <v>22.2</v>
      </c>
      <c r="F101" s="62"/>
      <c r="G101" s="347">
        <f>ROUND(SUM(G89+G96),1)</f>
        <v>0</v>
      </c>
      <c r="H101" s="62"/>
      <c r="I101" s="347">
        <f>ROUND(SUM(I89+I96),1)</f>
        <v>0</v>
      </c>
      <c r="J101" s="62"/>
      <c r="K101" s="347">
        <f>ROUND(SUM(K89+K96),1)</f>
        <v>0</v>
      </c>
      <c r="L101" s="62"/>
      <c r="M101" s="347">
        <f>ROUND(SUM(M89+M96),1)</f>
        <v>0</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43"/>
      <c r="AC101" s="347">
        <f>ROUND(SUM(AC89+AC96),1)</f>
        <v>0</v>
      </c>
      <c r="AD101" s="62"/>
      <c r="AE101" s="64"/>
      <c r="AF101" s="347">
        <f>ROUND(AF89+AF96,1)</f>
        <v>22.2</v>
      </c>
      <c r="AG101" s="216"/>
      <c r="AH101" s="76"/>
      <c r="AI101" s="3824">
        <f>ROUND(SUM(AI89+AI96),1)</f>
        <v>-120.1</v>
      </c>
      <c r="AJ101" s="346"/>
      <c r="AK101" s="345"/>
      <c r="AL101" s="347">
        <f>ROUND(SUM(+AF101-AI101),1)</f>
        <v>142.30000000000001</v>
      </c>
      <c r="AM101" s="341"/>
      <c r="AN101" s="1610">
        <f>ROUND(IF(AI101=0,0,AL101/ABS(AI101)),3)</f>
        <v>1.1850000000000001</v>
      </c>
      <c r="AO101" s="330"/>
      <c r="AP101" s="349"/>
      <c r="AQ101" s="330"/>
      <c r="AR101" s="330"/>
      <c r="AS101" s="330"/>
      <c r="AT101" s="330"/>
      <c r="AU101" s="330"/>
      <c r="AV101" s="330"/>
      <c r="AW101" s="330"/>
      <c r="AX101" s="330"/>
      <c r="AY101" s="330"/>
    </row>
    <row r="102" spans="1:55">
      <c r="A102" s="31"/>
      <c r="B102" s="31" t="s">
        <v>14</v>
      </c>
      <c r="C102" s="31"/>
      <c r="D102" s="31"/>
      <c r="E102" s="36"/>
      <c r="F102" s="36"/>
      <c r="G102" s="36"/>
      <c r="H102" s="36"/>
      <c r="I102" s="36"/>
      <c r="J102" s="36"/>
      <c r="K102" s="36"/>
      <c r="L102" s="36"/>
      <c r="M102" s="36"/>
      <c r="N102" s="36"/>
      <c r="O102" s="36"/>
      <c r="P102" s="36"/>
      <c r="Q102" s="36"/>
      <c r="R102" s="36"/>
      <c r="S102" s="287" t="s">
        <v>14</v>
      </c>
      <c r="T102" s="36"/>
      <c r="U102" s="287" t="s">
        <v>14</v>
      </c>
      <c r="V102" s="36"/>
      <c r="W102" s="287" t="s">
        <v>14</v>
      </c>
      <c r="X102" s="36"/>
      <c r="Y102" s="287" t="s">
        <v>14</v>
      </c>
      <c r="Z102" s="36"/>
      <c r="AA102" s="36"/>
      <c r="AB102" s="36"/>
      <c r="AC102" s="36"/>
      <c r="AD102" s="99"/>
      <c r="AE102" s="350"/>
      <c r="AF102" s="36"/>
      <c r="AG102" s="99"/>
      <c r="AH102" s="350"/>
      <c r="AI102" s="990" t="s">
        <v>182</v>
      </c>
      <c r="AJ102" s="274"/>
      <c r="AK102" s="37"/>
      <c r="AL102" s="325"/>
      <c r="AM102" s="325"/>
      <c r="AN102" s="332"/>
      <c r="AO102" s="325"/>
      <c r="AP102" s="325"/>
    </row>
    <row r="103" spans="1:55" s="30" customFormat="1" ht="15" customHeight="1" thickBot="1">
      <c r="A103" s="31"/>
      <c r="B103" s="29" t="s">
        <v>1104</v>
      </c>
      <c r="C103" s="31"/>
      <c r="E103" s="267">
        <f>ROUND(SUM(+E101+E15),1)</f>
        <v>-1121.8</v>
      </c>
      <c r="F103" s="94"/>
      <c r="G103" s="267">
        <f>ROUND(SUM(+G101+G15),1)</f>
        <v>0</v>
      </c>
      <c r="H103" s="94"/>
      <c r="I103" s="267">
        <f>ROUND(SUM(+I101+I15),1)</f>
        <v>0</v>
      </c>
      <c r="J103" s="94"/>
      <c r="K103" s="267">
        <f>ROUND(SUM(+K101+K15),1)</f>
        <v>0</v>
      </c>
      <c r="L103" s="94"/>
      <c r="M103" s="267">
        <f>ROUND(SUM(+M101+M15),1)</f>
        <v>0</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-1121.8</v>
      </c>
      <c r="AG103" s="94"/>
      <c r="AH103" s="95"/>
      <c r="AI103" s="262">
        <f>ROUND(SUM(+AI101+AI15),1)</f>
        <v>-1155</v>
      </c>
      <c r="AJ103" s="272"/>
      <c r="AK103" s="219"/>
      <c r="AL103" s="267">
        <f>ROUND(SUM(+AL101+AL15),1)</f>
        <v>33.200000000000003</v>
      </c>
      <c r="AM103" s="182"/>
      <c r="AN103" s="286">
        <f>ROUND(SUM(-(+AF103-AI103)/AI103),3)</f>
        <v>2.9000000000000001E-2</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3" t="s">
        <v>1203</v>
      </c>
      <c r="C105" s="352"/>
      <c r="D105" s="352"/>
      <c r="E105" s="353"/>
      <c r="F105" s="353"/>
      <c r="G105" s="353"/>
      <c r="AI105" s="3454"/>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765625" defaultRowHeight="15.5"/>
  <cols>
    <col min="1" max="1" width="2.53515625" style="2570" customWidth="1"/>
    <col min="2" max="2" width="14.07421875" style="2570" customWidth="1"/>
    <col min="3" max="3" width="26.07421875" style="2570" customWidth="1"/>
    <col min="4" max="4" width="2" style="2570" customWidth="1"/>
    <col min="5" max="5" width="11.07421875" style="2570" bestFit="1" customWidth="1"/>
    <col min="6" max="6" width="1.765625" style="2570" customWidth="1"/>
    <col min="7" max="7" width="11.765625" style="2570" customWidth="1"/>
    <col min="8" max="8" width="1.765625" style="2570" customWidth="1"/>
    <col min="9" max="9" width="11.07421875" style="2570" bestFit="1" customWidth="1"/>
    <col min="10" max="10" width="1.765625" style="2570" customWidth="1"/>
    <col min="11" max="11" width="12" style="2570" customWidth="1"/>
    <col min="12" max="12" width="1.07421875" style="2570" customWidth="1"/>
    <col min="13" max="13" width="10.07421875" style="2570" bestFit="1" customWidth="1"/>
    <col min="14" max="14" width="1.765625" style="2570" customWidth="1"/>
    <col min="15" max="15" width="11.07421875" style="2570" customWidth="1"/>
    <col min="16" max="16" width="1.765625" style="2570" customWidth="1"/>
    <col min="17" max="17" width="12.765625" style="2570" customWidth="1"/>
    <col min="18" max="18" width="1.765625" style="2570" customWidth="1"/>
    <col min="19" max="19" width="10.53515625" style="2570" customWidth="1"/>
    <col min="20" max="20" width="1.765625" style="2570" customWidth="1"/>
    <col min="21" max="21" width="10.765625" style="2570" customWidth="1"/>
    <col min="22" max="22" width="1.765625" style="2570" customWidth="1"/>
    <col min="23" max="23" width="10.765625" style="2570" customWidth="1"/>
    <col min="24" max="24" width="1.765625" style="2570" customWidth="1"/>
    <col min="25" max="25" width="10.765625" style="2570" customWidth="1"/>
    <col min="26" max="26" width="1.765625" style="2570" customWidth="1"/>
    <col min="27" max="27" width="9" style="2570" bestFit="1" customWidth="1"/>
    <col min="28" max="29" width="1.765625" style="2570" customWidth="1"/>
    <col min="30" max="30" width="11.07421875" style="2570" bestFit="1" customWidth="1"/>
    <col min="31" max="32" width="1.07421875" style="2570" customWidth="1"/>
    <col min="33" max="33" width="11.07421875" style="2570" customWidth="1"/>
    <col min="34" max="35" width="1" style="2570" customWidth="1"/>
    <col min="36" max="36" width="13.4609375" style="2570" bestFit="1" customWidth="1"/>
    <col min="37" max="37" width="1.07421875" style="2570" customWidth="1"/>
    <col min="38" max="38" width="12.765625" style="2570" customWidth="1"/>
    <col min="39" max="40" width="8.765625" style="2570"/>
    <col min="41" max="41" width="19.765625" style="2570" bestFit="1" customWidth="1"/>
    <col min="42" max="16384" width="8.765625" style="2570"/>
  </cols>
  <sheetData>
    <row r="1" spans="1:39">
      <c r="B1" s="2326" t="s">
        <v>885</v>
      </c>
    </row>
    <row r="2" spans="1:39">
      <c r="B2" s="3636"/>
    </row>
    <row r="3" spans="1:39" ht="19.5" customHeight="1">
      <c r="A3" s="3637"/>
      <c r="B3" s="1466" t="s">
        <v>0</v>
      </c>
      <c r="C3" s="2571"/>
      <c r="D3" s="2571"/>
      <c r="E3" s="2571"/>
      <c r="F3" s="2572"/>
      <c r="G3" s="2572"/>
      <c r="H3" s="2572"/>
      <c r="I3" s="2572"/>
      <c r="J3" s="2572"/>
      <c r="K3" s="2572"/>
      <c r="L3" s="2572"/>
      <c r="M3" s="2572"/>
      <c r="N3" s="2572"/>
      <c r="O3" s="2572"/>
      <c r="P3" s="2572"/>
      <c r="Q3" s="2572"/>
      <c r="R3" s="2572"/>
      <c r="S3" s="2572"/>
      <c r="T3" s="2572"/>
      <c r="U3" s="2572"/>
      <c r="V3" s="2572"/>
      <c r="W3" s="2572"/>
      <c r="X3" s="2572"/>
      <c r="Y3" s="2572"/>
      <c r="Z3" s="2572"/>
      <c r="AA3" s="2572"/>
      <c r="AB3" s="2572"/>
      <c r="AC3" s="2572"/>
      <c r="AD3" s="2572"/>
      <c r="AE3" s="2572"/>
      <c r="AF3" s="2572"/>
      <c r="AG3" s="2572"/>
      <c r="AH3" s="2572"/>
      <c r="AI3" s="2572"/>
      <c r="AL3" s="3097" t="s">
        <v>193</v>
      </c>
    </row>
    <row r="4" spans="1:39" ht="19.5" customHeight="1">
      <c r="A4" s="3637"/>
      <c r="B4" s="1466" t="s">
        <v>209</v>
      </c>
      <c r="C4" s="2571"/>
      <c r="D4" s="2571"/>
      <c r="E4" s="2571"/>
      <c r="F4" s="2572"/>
      <c r="G4" s="2572"/>
      <c r="H4" s="2572"/>
      <c r="I4" s="2572"/>
      <c r="J4" s="2572"/>
      <c r="K4" s="2572"/>
      <c r="L4" s="2572"/>
      <c r="M4" s="2572"/>
      <c r="N4" s="2572"/>
      <c r="O4" s="2572"/>
      <c r="P4" s="2572"/>
      <c r="Q4" s="2572"/>
      <c r="R4" s="2572"/>
      <c r="S4" s="2572"/>
      <c r="T4" s="2572"/>
      <c r="U4" s="2572"/>
      <c r="V4" s="2572"/>
      <c r="W4" s="2572"/>
      <c r="X4" s="2572"/>
      <c r="Y4" s="2572"/>
      <c r="Z4" s="2572"/>
      <c r="AA4" s="2572"/>
      <c r="AB4" s="2572"/>
      <c r="AC4" s="2572"/>
      <c r="AE4" s="3173"/>
      <c r="AF4" s="3173"/>
    </row>
    <row r="5" spans="1:39" ht="19.5" customHeight="1">
      <c r="A5" s="3637"/>
      <c r="B5" s="1467" t="s">
        <v>147</v>
      </c>
      <c r="C5" s="2571"/>
      <c r="D5" s="2571"/>
      <c r="E5" s="2571"/>
      <c r="F5" s="2572"/>
      <c r="G5" s="2572"/>
      <c r="H5" s="2572"/>
      <c r="I5" s="2572"/>
      <c r="J5" s="2572"/>
      <c r="K5" s="2572"/>
      <c r="L5" s="2572"/>
      <c r="M5" s="2572"/>
      <c r="N5" s="2572"/>
      <c r="O5" s="2572"/>
      <c r="P5" s="2572"/>
      <c r="Q5" s="2572"/>
      <c r="R5" s="2572"/>
      <c r="S5" s="2572"/>
      <c r="T5" s="2572"/>
      <c r="U5" s="2572"/>
      <c r="V5" s="2572"/>
      <c r="W5" s="2572"/>
      <c r="X5" s="2572"/>
      <c r="Y5" s="2572"/>
      <c r="Z5" s="2572"/>
      <c r="AA5" s="2572"/>
      <c r="AB5" s="2572"/>
      <c r="AC5" s="2572"/>
      <c r="AD5" s="2572"/>
      <c r="AE5" s="2572"/>
      <c r="AF5" s="2572"/>
      <c r="AG5" s="2572"/>
      <c r="AH5" s="2572"/>
      <c r="AI5" s="2572"/>
      <c r="AL5" s="3638"/>
    </row>
    <row r="6" spans="1:39" ht="19.5" customHeight="1">
      <c r="A6" s="3637"/>
      <c r="B6" s="1467" t="str">
        <f>'Cashflow Governmental'!A6</f>
        <v xml:space="preserve">FISCAL YEAR 2021-2022   </v>
      </c>
      <c r="C6" s="2571"/>
      <c r="D6" s="2571"/>
      <c r="E6" s="2571"/>
      <c r="F6" s="2572"/>
      <c r="G6" s="2572"/>
      <c r="H6" s="2573"/>
      <c r="I6" s="2572"/>
      <c r="J6" s="2572"/>
      <c r="K6" s="2572"/>
      <c r="L6" s="2572"/>
      <c r="M6" s="2572"/>
      <c r="N6" s="2572"/>
      <c r="O6" s="2572"/>
      <c r="P6" s="2572"/>
      <c r="Q6" s="2572"/>
      <c r="R6" s="2572"/>
      <c r="S6" s="2572"/>
      <c r="T6" s="2572"/>
      <c r="U6" s="2572"/>
      <c r="V6" s="2572"/>
      <c r="W6" s="2572"/>
      <c r="X6" s="2572"/>
      <c r="Y6" s="2572"/>
      <c r="Z6" s="2572"/>
      <c r="AA6" s="2572"/>
      <c r="AB6" s="2572"/>
      <c r="AC6" s="2572"/>
      <c r="AD6" s="2572"/>
      <c r="AE6" s="2574"/>
      <c r="AF6" s="2574"/>
      <c r="AG6" s="2574"/>
      <c r="AH6" s="2574"/>
      <c r="AI6" s="2574"/>
    </row>
    <row r="7" spans="1:39" ht="19.5" customHeight="1">
      <c r="A7" s="3637"/>
      <c r="B7" s="1466" t="s">
        <v>1281</v>
      </c>
      <c r="C7" s="2571"/>
      <c r="D7" s="2571"/>
      <c r="E7" s="2571"/>
      <c r="F7" s="2572"/>
      <c r="G7" s="2572"/>
      <c r="H7" s="2573"/>
      <c r="I7" s="2572"/>
      <c r="J7" s="2572"/>
      <c r="K7" s="2572"/>
      <c r="L7" s="2572"/>
      <c r="M7" s="2572"/>
      <c r="N7" s="2572"/>
      <c r="O7" s="2572"/>
      <c r="P7" s="2572"/>
      <c r="Q7" s="2572"/>
      <c r="R7" s="2572"/>
      <c r="S7" s="2572"/>
      <c r="T7" s="2572"/>
      <c r="U7" s="2572"/>
      <c r="V7" s="2572"/>
      <c r="W7" s="2572"/>
      <c r="X7" s="2572"/>
      <c r="Y7" s="2572"/>
      <c r="Z7" s="2572"/>
      <c r="AA7" s="2572"/>
      <c r="AB7" s="2572"/>
      <c r="AC7" s="2572"/>
      <c r="AD7" s="2572"/>
      <c r="AE7" s="2574"/>
      <c r="AF7" s="2574"/>
      <c r="AG7" s="2574"/>
      <c r="AH7" s="2574"/>
      <c r="AI7" s="2574"/>
    </row>
    <row r="8" spans="1:39" ht="19.5" customHeight="1">
      <c r="A8" s="3637"/>
      <c r="C8" s="2571"/>
      <c r="D8" s="2571"/>
      <c r="E8" s="2571"/>
      <c r="F8" s="2572"/>
      <c r="G8" s="2572"/>
      <c r="H8" s="2572"/>
      <c r="I8" s="2572"/>
      <c r="J8" s="2572"/>
      <c r="K8" s="2572"/>
      <c r="L8" s="2572"/>
      <c r="M8" s="2572"/>
      <c r="N8" s="2572"/>
      <c r="O8" s="2572"/>
      <c r="P8" s="2572"/>
      <c r="Q8" s="2572"/>
      <c r="R8" s="2572"/>
      <c r="S8" s="2572"/>
      <c r="T8" s="2572"/>
      <c r="U8" s="2572"/>
      <c r="V8" s="2572"/>
      <c r="W8" s="2572"/>
      <c r="X8" s="2572"/>
      <c r="Y8" s="2572"/>
      <c r="Z8" s="2572"/>
      <c r="AA8" s="2572"/>
      <c r="AB8" s="2572"/>
      <c r="AC8" s="2575"/>
    </row>
    <row r="9" spans="1:39" ht="15.75" customHeight="1">
      <c r="A9" s="3637"/>
      <c r="B9" s="1466"/>
      <c r="C9" s="2571"/>
      <c r="D9" s="2571"/>
      <c r="E9" s="2571"/>
      <c r="F9" s="2572"/>
      <c r="G9" s="2572"/>
      <c r="H9" s="2572"/>
      <c r="I9" s="2572"/>
      <c r="J9" s="2572"/>
      <c r="K9" s="2572"/>
      <c r="L9" s="2572"/>
      <c r="M9" s="2572"/>
      <c r="N9" s="2572"/>
      <c r="O9" s="2572"/>
      <c r="P9" s="2572"/>
      <c r="Q9" s="2572"/>
      <c r="R9" s="2572"/>
      <c r="S9" s="2572"/>
      <c r="T9" s="2572"/>
      <c r="U9" s="2572"/>
      <c r="V9" s="2572"/>
      <c r="W9" s="2572"/>
      <c r="X9" s="2572"/>
      <c r="Y9" s="2572"/>
      <c r="Z9" s="2572"/>
      <c r="AA9" s="2572"/>
      <c r="AB9" s="2572"/>
      <c r="AC9" s="2575"/>
    </row>
    <row r="10" spans="1:39" ht="15.75" customHeight="1">
      <c r="A10" s="3637"/>
      <c r="B10" s="3639"/>
      <c r="C10" s="2571"/>
      <c r="D10" s="2571"/>
      <c r="E10" s="2571"/>
      <c r="F10" s="2572"/>
      <c r="G10" s="2572"/>
      <c r="H10" s="2572"/>
      <c r="I10" s="2572"/>
      <c r="J10" s="2572"/>
      <c r="K10" s="2572"/>
      <c r="L10" s="2572"/>
      <c r="M10" s="2572"/>
      <c r="N10" s="2572"/>
      <c r="O10" s="2572"/>
      <c r="P10" s="2572"/>
      <c r="Q10" s="2572"/>
      <c r="R10" s="2572"/>
      <c r="S10" s="2572"/>
      <c r="T10" s="2572"/>
      <c r="U10" s="2572"/>
      <c r="V10" s="2572"/>
      <c r="W10" s="2572"/>
      <c r="X10" s="2572"/>
      <c r="Y10" s="2572"/>
      <c r="Z10" s="2572"/>
      <c r="AA10" s="2572"/>
      <c r="AB10" s="2572"/>
      <c r="AC10" s="2575"/>
      <c r="AD10" s="3941" t="s">
        <v>1422</v>
      </c>
      <c r="AE10" s="3941"/>
      <c r="AF10" s="3941"/>
      <c r="AG10" s="3941"/>
      <c r="AH10" s="3941"/>
      <c r="AI10" s="3941"/>
      <c r="AJ10" s="3941"/>
      <c r="AK10" s="3941"/>
      <c r="AL10" s="3941"/>
    </row>
    <row r="11" spans="1:39" ht="15.75" customHeight="1">
      <c r="A11" s="3640"/>
      <c r="B11" s="3640"/>
      <c r="C11" s="3640"/>
      <c r="D11" s="3640"/>
      <c r="E11" s="2576" t="str">
        <f>'Cashflow Governmental'!C13</f>
        <v>2021</v>
      </c>
      <c r="F11" s="2577"/>
      <c r="G11" s="2577"/>
      <c r="H11" s="2577"/>
      <c r="I11" s="2577"/>
      <c r="J11" s="2577"/>
      <c r="K11" s="2577"/>
      <c r="L11" s="2577"/>
      <c r="M11" s="2577"/>
      <c r="N11" s="2577"/>
      <c r="O11" s="2577"/>
      <c r="P11" s="2577"/>
      <c r="Q11" s="2577"/>
      <c r="R11" s="2577"/>
      <c r="S11" s="2577"/>
      <c r="T11" s="2577"/>
      <c r="U11" s="2577"/>
      <c r="V11" s="2577"/>
      <c r="W11" s="2576">
        <f>'Cashflow Governmental'!U13</f>
        <v>2022</v>
      </c>
      <c r="X11" s="2577"/>
      <c r="Y11" s="2577"/>
      <c r="Z11" s="2577"/>
      <c r="AA11" s="2577"/>
      <c r="AB11" s="2577"/>
      <c r="AC11" s="2577"/>
      <c r="AD11" s="2578"/>
      <c r="AE11" s="2578"/>
      <c r="AF11" s="2578"/>
      <c r="AG11" s="2578"/>
      <c r="AH11" s="2578"/>
      <c r="AI11" s="2578"/>
      <c r="AJ11" s="2579" t="s">
        <v>7</v>
      </c>
      <c r="AK11" s="2579"/>
      <c r="AL11" s="3641" t="s">
        <v>8</v>
      </c>
      <c r="AM11" s="3642"/>
    </row>
    <row r="12" spans="1:39" ht="15.75" customHeight="1">
      <c r="A12" s="2456"/>
      <c r="B12" s="2456"/>
      <c r="C12" s="2456"/>
      <c r="D12" s="2456"/>
      <c r="E12" s="2580" t="s">
        <v>123</v>
      </c>
      <c r="F12" s="2543"/>
      <c r="G12" s="2580" t="s">
        <v>124</v>
      </c>
      <c r="H12" s="2543"/>
      <c r="I12" s="2580" t="s">
        <v>125</v>
      </c>
      <c r="J12" s="2543"/>
      <c r="K12" s="2580" t="s">
        <v>126</v>
      </c>
      <c r="L12" s="2543"/>
      <c r="M12" s="2580" t="s">
        <v>127</v>
      </c>
      <c r="N12" s="2543"/>
      <c r="O12" s="2580" t="s">
        <v>142</v>
      </c>
      <c r="P12" s="2543"/>
      <c r="Q12" s="2580" t="s">
        <v>143</v>
      </c>
      <c r="R12" s="2543"/>
      <c r="S12" s="2580" t="s">
        <v>130</v>
      </c>
      <c r="T12" s="2543"/>
      <c r="U12" s="2580" t="s">
        <v>131</v>
      </c>
      <c r="V12" s="2543"/>
      <c r="W12" s="2580" t="s">
        <v>132</v>
      </c>
      <c r="X12" s="2543"/>
      <c r="Y12" s="2580" t="s">
        <v>133</v>
      </c>
      <c r="Z12" s="2543"/>
      <c r="AA12" s="2580" t="s">
        <v>184</v>
      </c>
      <c r="AB12" s="2543"/>
      <c r="AC12" s="2543"/>
      <c r="AD12" s="2580">
        <f>'Cashflow Governmental'!AB14</f>
        <v>2021</v>
      </c>
      <c r="AE12" s="2543"/>
      <c r="AF12" s="2543"/>
      <c r="AG12" s="2580">
        <f>'Cashflow Governmental'!AE14</f>
        <v>2020</v>
      </c>
      <c r="AH12" s="2581"/>
      <c r="AI12" s="2581"/>
      <c r="AJ12" s="2582" t="s">
        <v>11</v>
      </c>
      <c r="AK12" s="3643"/>
      <c r="AL12" s="2582" t="s">
        <v>12</v>
      </c>
      <c r="AM12" s="3642"/>
    </row>
    <row r="13" spans="1:39" ht="5.25" customHeight="1">
      <c r="A13" s="2456"/>
      <c r="B13" s="2543"/>
      <c r="C13" s="2543"/>
      <c r="D13" s="2456"/>
      <c r="E13" s="1983"/>
      <c r="F13" s="1983"/>
      <c r="G13" s="1983"/>
      <c r="H13" s="1983"/>
      <c r="I13" s="1983"/>
      <c r="J13" s="1983"/>
      <c r="K13" s="1983"/>
      <c r="L13" s="1983"/>
      <c r="M13" s="1983"/>
      <c r="N13" s="1983"/>
      <c r="O13" s="1983"/>
      <c r="P13" s="1983"/>
      <c r="Q13" s="1983"/>
      <c r="R13" s="1983"/>
      <c r="S13" s="1983"/>
      <c r="T13" s="1983"/>
      <c r="U13" s="1983"/>
      <c r="V13" s="1983"/>
      <c r="W13" s="1983"/>
      <c r="X13" s="1983"/>
      <c r="Y13" s="1983"/>
      <c r="Z13" s="1983"/>
      <c r="AA13" s="1983"/>
      <c r="AB13" s="1983"/>
      <c r="AC13" s="1988"/>
      <c r="AD13" s="1983"/>
      <c r="AE13" s="1983"/>
      <c r="AF13" s="2178"/>
      <c r="AG13" s="1983"/>
      <c r="AH13" s="1983"/>
      <c r="AI13" s="2583"/>
      <c r="AJ13" s="2584"/>
      <c r="AK13" s="2584"/>
      <c r="AL13" s="2584"/>
    </row>
    <row r="14" spans="1:39">
      <c r="A14" s="2456"/>
      <c r="B14" s="1843" t="s">
        <v>1172</v>
      </c>
      <c r="C14" s="2543"/>
      <c r="D14" s="2456"/>
      <c r="E14" s="2444">
        <v>-563.70000000000005</v>
      </c>
      <c r="F14" s="1983"/>
      <c r="G14" s="2021"/>
      <c r="H14" s="2585"/>
      <c r="I14" s="2021"/>
      <c r="J14" s="2585"/>
      <c r="K14" s="2021"/>
      <c r="L14" s="2585"/>
      <c r="M14" s="2021"/>
      <c r="N14" s="1983"/>
      <c r="O14" s="2021"/>
      <c r="P14" s="1983"/>
      <c r="Q14" s="2021"/>
      <c r="R14" s="2021"/>
      <c r="S14" s="2021"/>
      <c r="T14" s="2021"/>
      <c r="U14" s="2021"/>
      <c r="V14" s="2021"/>
      <c r="W14" s="2021"/>
      <c r="X14" s="2021"/>
      <c r="Y14" s="2021"/>
      <c r="Z14" s="2021"/>
      <c r="AA14" s="2021"/>
      <c r="AB14" s="1983"/>
      <c r="AC14" s="1988"/>
      <c r="AD14" s="2021">
        <f>E14</f>
        <v>-563.70000000000005</v>
      </c>
      <c r="AE14" s="1983"/>
      <c r="AF14" s="2178"/>
      <c r="AG14" s="3445">
        <v>-472.2</v>
      </c>
      <c r="AH14" s="1983"/>
      <c r="AI14" s="2583"/>
      <c r="AJ14" s="2021">
        <f>ROUND(AD14-AG14,1)</f>
        <v>-91.5</v>
      </c>
      <c r="AK14" s="2586"/>
      <c r="AL14" s="2587">
        <f>ROUND(IF(AG14=0,0,AJ14/ABS(AG14)),3)</f>
        <v>-0.19400000000000001</v>
      </c>
    </row>
    <row r="15" spans="1:39">
      <c r="A15" s="2456"/>
      <c r="B15" s="2543"/>
      <c r="C15" s="2543"/>
      <c r="D15" s="2456"/>
      <c r="E15" s="1983"/>
      <c r="F15" s="1983"/>
      <c r="G15" s="1983"/>
      <c r="H15" s="1983"/>
      <c r="I15" s="1983"/>
      <c r="J15" s="1983"/>
      <c r="K15" s="1983"/>
      <c r="L15" s="1983"/>
      <c r="M15" s="1983"/>
      <c r="N15" s="1983"/>
      <c r="O15" s="1983"/>
      <c r="P15" s="1983"/>
      <c r="Q15" s="1983"/>
      <c r="R15" s="1983"/>
      <c r="S15" s="1983"/>
      <c r="T15" s="1983"/>
      <c r="U15" s="1983"/>
      <c r="V15" s="1983"/>
      <c r="W15" s="1983"/>
      <c r="X15" s="1983"/>
      <c r="Y15" s="1983"/>
      <c r="Z15" s="1983"/>
      <c r="AA15" s="1983"/>
      <c r="AB15" s="1983"/>
      <c r="AC15" s="1988"/>
      <c r="AD15" s="1983"/>
      <c r="AE15" s="1983"/>
      <c r="AF15" s="2178"/>
      <c r="AG15" s="1983"/>
      <c r="AH15" s="1983"/>
      <c r="AI15" s="2583"/>
      <c r="AJ15" s="2584"/>
      <c r="AK15" s="2584"/>
      <c r="AL15" s="2584"/>
    </row>
    <row r="16" spans="1:39">
      <c r="A16" s="2456"/>
      <c r="B16" s="2543" t="s">
        <v>194</v>
      </c>
      <c r="C16" s="2456"/>
      <c r="D16" s="2456"/>
      <c r="E16" s="1983"/>
      <c r="F16" s="1983"/>
      <c r="G16" s="1983"/>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8"/>
      <c r="AD16" s="1983"/>
      <c r="AE16" s="3174"/>
      <c r="AF16" s="2010"/>
      <c r="AG16" s="1983"/>
      <c r="AH16" s="1983"/>
      <c r="AI16" s="2583"/>
      <c r="AJ16" s="2588"/>
      <c r="AK16" s="2588"/>
      <c r="AL16" s="2588"/>
    </row>
    <row r="17" spans="1:39">
      <c r="A17" s="2456"/>
      <c r="B17" s="2453" t="s">
        <v>997</v>
      </c>
      <c r="C17" s="2456"/>
      <c r="D17" s="2456"/>
      <c r="E17" s="1983"/>
      <c r="F17" s="1983"/>
      <c r="G17" s="1983"/>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8"/>
      <c r="AD17" s="1983"/>
      <c r="AE17" s="3175"/>
      <c r="AF17" s="2010"/>
      <c r="AG17" s="1983"/>
      <c r="AH17" s="1983"/>
      <c r="AI17" s="2583"/>
      <c r="AJ17" s="2588"/>
      <c r="AK17" s="2588"/>
      <c r="AL17" s="2588"/>
    </row>
    <row r="18" spans="1:39">
      <c r="A18" s="2456"/>
      <c r="B18" s="2531" t="s">
        <v>1010</v>
      </c>
      <c r="C18" s="2456"/>
      <c r="D18" s="2456"/>
      <c r="E18" s="2589"/>
      <c r="F18" s="1983"/>
      <c r="G18" s="1987"/>
      <c r="H18" s="1987"/>
      <c r="I18" s="1987"/>
      <c r="J18" s="1987"/>
      <c r="K18" s="1987"/>
      <c r="L18" s="1987"/>
      <c r="M18" s="1987"/>
      <c r="N18" s="1987"/>
      <c r="O18" s="1987"/>
      <c r="P18" s="1987"/>
      <c r="Q18" s="1987"/>
      <c r="R18" s="1987"/>
      <c r="S18" s="1987"/>
      <c r="T18" s="1987"/>
      <c r="U18" s="1987"/>
      <c r="V18" s="1987"/>
      <c r="W18" s="1987"/>
      <c r="X18" s="1987"/>
      <c r="Y18" s="1987"/>
      <c r="Z18" s="1987"/>
      <c r="AA18" s="1987"/>
      <c r="AB18" s="1987"/>
      <c r="AC18" s="2031"/>
      <c r="AD18" s="3176" t="s">
        <v>14</v>
      </c>
      <c r="AE18" s="3177"/>
      <c r="AF18" s="1969"/>
      <c r="AG18" s="1987" t="s">
        <v>14</v>
      </c>
      <c r="AH18" s="1987"/>
      <c r="AI18" s="2590"/>
      <c r="AJ18" s="2591"/>
      <c r="AK18" s="2588"/>
      <c r="AL18" s="2588"/>
    </row>
    <row r="19" spans="1:39">
      <c r="A19" s="2456"/>
      <c r="B19" s="2326" t="s">
        <v>1013</v>
      </c>
      <c r="C19" s="2456"/>
      <c r="D19" s="2592" t="s">
        <v>14</v>
      </c>
      <c r="E19" s="1992">
        <f>$AD19</f>
        <v>2.1</v>
      </c>
      <c r="F19" s="1992"/>
      <c r="G19" s="1992"/>
      <c r="H19" s="1992"/>
      <c r="I19" s="1992"/>
      <c r="J19" s="1992"/>
      <c r="K19" s="1992"/>
      <c r="L19" s="1990"/>
      <c r="M19" s="1992"/>
      <c r="N19" s="1979"/>
      <c r="O19" s="1992"/>
      <c r="P19" s="1979"/>
      <c r="Q19" s="1781"/>
      <c r="R19" s="1979"/>
      <c r="S19" s="1781"/>
      <c r="T19" s="1979"/>
      <c r="U19" s="1781"/>
      <c r="V19" s="1979"/>
      <c r="W19" s="1781"/>
      <c r="X19" s="1979"/>
      <c r="Y19" s="1781"/>
      <c r="Z19" s="1979"/>
      <c r="AA19" s="1781"/>
      <c r="AB19" s="1992"/>
      <c r="AC19" s="1993"/>
      <c r="AD19" s="1992">
        <v>2.1</v>
      </c>
      <c r="AE19" s="3178"/>
      <c r="AF19" s="3179"/>
      <c r="AG19" s="1992">
        <v>0.6</v>
      </c>
      <c r="AH19" s="2593"/>
      <c r="AI19" s="2594"/>
      <c r="AJ19" s="1992">
        <f>ROUND(AD19-AG19,1)</f>
        <v>1.5</v>
      </c>
      <c r="AK19" s="2595"/>
      <c r="AL19" s="2607">
        <f>ROUND(IF(AG19=0,0,AJ19/ABS(AG19)),3)</f>
        <v>2.5</v>
      </c>
    </row>
    <row r="20" spans="1:39">
      <c r="A20" s="2456"/>
      <c r="B20" s="2326" t="s">
        <v>1015</v>
      </c>
      <c r="C20" s="2456"/>
      <c r="D20" s="2456"/>
      <c r="E20" s="1992">
        <f t="shared" ref="E20:E21" si="0">$AD20</f>
        <v>26.9</v>
      </c>
      <c r="F20" s="1992"/>
      <c r="G20" s="1992"/>
      <c r="H20" s="1992"/>
      <c r="I20" s="1992"/>
      <c r="J20" s="1992"/>
      <c r="K20" s="1992"/>
      <c r="L20" s="2596"/>
      <c r="M20" s="1992"/>
      <c r="N20" s="2596"/>
      <c r="O20" s="1992"/>
      <c r="P20" s="2596"/>
      <c r="Q20" s="1781"/>
      <c r="R20" s="2596"/>
      <c r="S20" s="1781"/>
      <c r="T20" s="2596"/>
      <c r="U20" s="1781"/>
      <c r="V20" s="2596"/>
      <c r="W20" s="1781"/>
      <c r="X20" s="2596"/>
      <c r="Y20" s="1781"/>
      <c r="Z20" s="2596"/>
      <c r="AA20" s="1781"/>
      <c r="AB20" s="1992"/>
      <c r="AC20" s="2031"/>
      <c r="AD20" s="1992">
        <v>26.9</v>
      </c>
      <c r="AE20" s="3177"/>
      <c r="AF20" s="1969"/>
      <c r="AG20" s="1992">
        <v>23.799999999999997</v>
      </c>
      <c r="AH20" s="1987"/>
      <c r="AI20" s="2590"/>
      <c r="AJ20" s="1987">
        <f>ROUND(AD20-AG20,1)</f>
        <v>3.1</v>
      </c>
      <c r="AK20" s="2597"/>
      <c r="AL20" s="1642">
        <f>ROUND(IF(AG20=0,0,AJ20/ABS(AG20)),3)</f>
        <v>0.13</v>
      </c>
      <c r="AM20" s="2588"/>
    </row>
    <row r="21" spans="1:39">
      <c r="A21" s="2456"/>
      <c r="B21" s="2326" t="s">
        <v>1017</v>
      </c>
      <c r="C21" s="2456"/>
      <c r="D21" s="2456"/>
      <c r="E21" s="1992">
        <f t="shared" si="0"/>
        <v>14.5</v>
      </c>
      <c r="F21" s="1992"/>
      <c r="G21" s="1992"/>
      <c r="H21" s="1992"/>
      <c r="I21" s="1992"/>
      <c r="J21" s="1992"/>
      <c r="K21" s="1992"/>
      <c r="L21" s="2596"/>
      <c r="M21" s="1992"/>
      <c r="N21" s="2596"/>
      <c r="O21" s="1992"/>
      <c r="P21" s="2596"/>
      <c r="Q21" s="1781"/>
      <c r="R21" s="2596"/>
      <c r="S21" s="1781"/>
      <c r="T21" s="2596"/>
      <c r="U21" s="1781"/>
      <c r="V21" s="2596"/>
      <c r="W21" s="1781"/>
      <c r="X21" s="2596"/>
      <c r="Y21" s="1781"/>
      <c r="Z21" s="2596"/>
      <c r="AA21" s="1781"/>
      <c r="AB21" s="1992"/>
      <c r="AC21" s="2031"/>
      <c r="AD21" s="1992">
        <v>14.5</v>
      </c>
      <c r="AE21" s="3177"/>
      <c r="AF21" s="1969"/>
      <c r="AG21" s="1992">
        <v>11.6</v>
      </c>
      <c r="AH21" s="1987"/>
      <c r="AI21" s="2590"/>
      <c r="AJ21" s="1987">
        <f>ROUND(AD21-AG21,1)</f>
        <v>2.9</v>
      </c>
      <c r="AK21" s="2597"/>
      <c r="AL21" s="2188">
        <f>ROUND(IF(AG21=0,0,AJ21/ABS(AG21)),3)</f>
        <v>0.25</v>
      </c>
    </row>
    <row r="22" spans="1:39">
      <c r="A22" s="2456"/>
      <c r="B22" s="2464" t="s">
        <v>1100</v>
      </c>
      <c r="C22" s="2456"/>
      <c r="D22" s="2456"/>
      <c r="E22" s="1453">
        <f>ROUND(SUM(E19:E21),1)</f>
        <v>43.5</v>
      </c>
      <c r="F22" s="1992"/>
      <c r="G22" s="1453">
        <f>ROUND(SUM(G19:G21),1)</f>
        <v>0</v>
      </c>
      <c r="H22" s="1992"/>
      <c r="I22" s="1453">
        <f>ROUND(SUM(I19:I21),1)</f>
        <v>0</v>
      </c>
      <c r="J22" s="1992"/>
      <c r="K22" s="1453">
        <f>ROUND(SUM(K19:K21),1)</f>
        <v>0</v>
      </c>
      <c r="L22" s="1992"/>
      <c r="M22" s="1453">
        <f>ROUND(SUM(M19:M21),1)</f>
        <v>0</v>
      </c>
      <c r="N22" s="1992"/>
      <c r="O22" s="1453">
        <f>ROUND(SUM(O19:O21),1)</f>
        <v>0</v>
      </c>
      <c r="P22" s="1987"/>
      <c r="Q22" s="1453">
        <f>ROUND(SUM(Q19:Q21),1)</f>
        <v>0</v>
      </c>
      <c r="R22" s="1987"/>
      <c r="S22" s="1453">
        <f>ROUND(SUM(S19:S21),1)</f>
        <v>0</v>
      </c>
      <c r="T22" s="1987"/>
      <c r="U22" s="1453">
        <f>ROUND(SUM(U19:U21),1)</f>
        <v>0</v>
      </c>
      <c r="V22" s="1987"/>
      <c r="W22" s="1453">
        <f>ROUND(SUM(W19:W21),1)</f>
        <v>0</v>
      </c>
      <c r="X22" s="1987"/>
      <c r="Y22" s="1453">
        <f>ROUND(SUM(Y19:Y21),1)</f>
        <v>0</v>
      </c>
      <c r="Z22" s="1987"/>
      <c r="AA22" s="1453">
        <f>ROUND(SUM(AA19:AA21),1)</f>
        <v>0</v>
      </c>
      <c r="AB22" s="1987"/>
      <c r="AC22" s="2031"/>
      <c r="AD22" s="1453">
        <f>ROUND(SUM(AD19:AD21),1)</f>
        <v>43.5</v>
      </c>
      <c r="AE22" s="3180"/>
      <c r="AF22" s="1969"/>
      <c r="AG22" s="1453">
        <f>ROUND(SUM(AG19:AG21),1)</f>
        <v>36</v>
      </c>
      <c r="AH22" s="1987"/>
      <c r="AI22" s="2590"/>
      <c r="AJ22" s="1453">
        <f>ROUND(SUM(AJ19:AJ21),1)</f>
        <v>7.5</v>
      </c>
      <c r="AK22" s="2597"/>
      <c r="AL22" s="2189">
        <f>ROUND(IF(AG22=0,0,AJ22/ABS(AG22)),3)</f>
        <v>0.20799999999999999</v>
      </c>
    </row>
    <row r="23" spans="1:39">
      <c r="A23" s="2456"/>
      <c r="B23" s="2531" t="s">
        <v>1001</v>
      </c>
      <c r="C23" s="2456"/>
      <c r="D23" s="2456"/>
      <c r="E23" s="1992"/>
      <c r="F23" s="1992"/>
      <c r="G23" s="1992"/>
      <c r="H23" s="1992"/>
      <c r="I23" s="1992"/>
      <c r="J23" s="1992"/>
      <c r="K23" s="1992"/>
      <c r="L23" s="1992"/>
      <c r="M23" s="1992"/>
      <c r="N23" s="1992"/>
      <c r="O23" s="1992"/>
      <c r="P23" s="1987"/>
      <c r="Q23" s="2603"/>
      <c r="R23" s="1987"/>
      <c r="S23" s="2603"/>
      <c r="T23" s="1987"/>
      <c r="U23" s="2603"/>
      <c r="V23" s="1987"/>
      <c r="W23" s="3644"/>
      <c r="X23" s="1987"/>
      <c r="Y23" s="2603"/>
      <c r="Z23" s="1987"/>
      <c r="AA23" s="3644"/>
      <c r="AB23" s="1987"/>
      <c r="AC23" s="2031"/>
      <c r="AD23" s="1986"/>
      <c r="AE23" s="3177"/>
      <c r="AF23" s="1969"/>
      <c r="AG23" s="1986"/>
      <c r="AH23" s="1987"/>
      <c r="AI23" s="2590"/>
      <c r="AJ23" s="1986"/>
      <c r="AK23" s="2588"/>
      <c r="AL23" s="1790"/>
    </row>
    <row r="24" spans="1:39">
      <c r="A24" s="2456"/>
      <c r="B24" s="2326" t="s">
        <v>1019</v>
      </c>
      <c r="C24" s="2456"/>
      <c r="D24" s="2456"/>
      <c r="E24" s="1992">
        <f t="shared" ref="E24:E26" si="1">$AD24</f>
        <v>0</v>
      </c>
      <c r="F24" s="1992"/>
      <c r="G24" s="1992"/>
      <c r="H24" s="1992"/>
      <c r="I24" s="1992"/>
      <c r="J24" s="1992"/>
      <c r="K24" s="1992"/>
      <c r="L24" s="2596"/>
      <c r="M24" s="1992"/>
      <c r="N24" s="2596"/>
      <c r="O24" s="1992"/>
      <c r="P24" s="2596"/>
      <c r="Q24" s="1781"/>
      <c r="R24" s="2596"/>
      <c r="S24" s="1781"/>
      <c r="T24" s="2596"/>
      <c r="U24" s="1781"/>
      <c r="V24" s="2596"/>
      <c r="W24" s="1781"/>
      <c r="X24" s="2596"/>
      <c r="Y24" s="1781"/>
      <c r="Z24" s="2596"/>
      <c r="AA24" s="1781"/>
      <c r="AB24" s="1987"/>
      <c r="AC24" s="2031"/>
      <c r="AD24" s="1992">
        <v>0</v>
      </c>
      <c r="AE24" s="3180"/>
      <c r="AF24" s="1969"/>
      <c r="AG24" s="1992">
        <v>0</v>
      </c>
      <c r="AH24" s="1987"/>
      <c r="AI24" s="2590"/>
      <c r="AJ24" s="1987">
        <f>ROUND(AD24-AG24,1)</f>
        <v>0</v>
      </c>
      <c r="AK24" s="2588"/>
      <c r="AL24" s="1642">
        <f>ROUND(IF(AG24=0,0,AJ24/ABS(AG24)),3)</f>
        <v>0</v>
      </c>
    </row>
    <row r="25" spans="1:39">
      <c r="A25" s="2456"/>
      <c r="B25" s="2326" t="s">
        <v>1020</v>
      </c>
      <c r="C25" s="2456"/>
      <c r="D25" s="2456"/>
      <c r="E25" s="1992">
        <f t="shared" si="1"/>
        <v>3.1</v>
      </c>
      <c r="F25" s="1992"/>
      <c r="G25" s="1992"/>
      <c r="H25" s="1992"/>
      <c r="I25" s="1992"/>
      <c r="J25" s="1992"/>
      <c r="K25" s="1992"/>
      <c r="L25" s="2596"/>
      <c r="M25" s="1992"/>
      <c r="N25" s="2596"/>
      <c r="O25" s="1992"/>
      <c r="P25" s="2596"/>
      <c r="Q25" s="1781"/>
      <c r="R25" s="2596"/>
      <c r="S25" s="1781"/>
      <c r="T25" s="2596"/>
      <c r="U25" s="1781"/>
      <c r="V25" s="2596"/>
      <c r="W25" s="1781"/>
      <c r="X25" s="2596"/>
      <c r="Y25" s="1781"/>
      <c r="Z25" s="2596"/>
      <c r="AA25" s="1781"/>
      <c r="AB25" s="1987"/>
      <c r="AC25" s="2031"/>
      <c r="AD25" s="1992">
        <v>3.1</v>
      </c>
      <c r="AE25" s="3180"/>
      <c r="AF25" s="1969"/>
      <c r="AG25" s="1992">
        <v>0.1</v>
      </c>
      <c r="AH25" s="1987"/>
      <c r="AI25" s="2590"/>
      <c r="AJ25" s="1987">
        <f>ROUND(AD25-AG25,1)</f>
        <v>3</v>
      </c>
      <c r="AK25" s="2588"/>
      <c r="AL25" s="1721">
        <f>ROUND(IF(AG25=0,1,AJ25/ABS(AG25)),3)</f>
        <v>30</v>
      </c>
    </row>
    <row r="26" spans="1:39">
      <c r="A26" s="2456"/>
      <c r="B26" s="2326" t="s">
        <v>1023</v>
      </c>
      <c r="C26" s="2543"/>
      <c r="D26" s="2456"/>
      <c r="E26" s="1992">
        <f t="shared" si="1"/>
        <v>38.200000000000003</v>
      </c>
      <c r="F26" s="1992"/>
      <c r="G26" s="1992"/>
      <c r="H26" s="1992"/>
      <c r="I26" s="1992"/>
      <c r="J26" s="1992"/>
      <c r="K26" s="1992"/>
      <c r="L26" s="2596"/>
      <c r="M26" s="1992"/>
      <c r="N26" s="2596"/>
      <c r="O26" s="1992"/>
      <c r="P26" s="2596"/>
      <c r="Q26" s="1781"/>
      <c r="R26" s="2596"/>
      <c r="S26" s="1781"/>
      <c r="T26" s="2596"/>
      <c r="U26" s="1781"/>
      <c r="V26" s="2596"/>
      <c r="W26" s="1781"/>
      <c r="X26" s="2596"/>
      <c r="Y26" s="1781"/>
      <c r="Z26" s="2596"/>
      <c r="AA26" s="1781"/>
      <c r="AB26" s="1987"/>
      <c r="AC26" s="2031"/>
      <c r="AD26" s="1992">
        <v>38.200000000000003</v>
      </c>
      <c r="AE26" s="3177"/>
      <c r="AF26" s="1969"/>
      <c r="AG26" s="1992">
        <v>38</v>
      </c>
      <c r="AH26" s="1987"/>
      <c r="AI26" s="2590"/>
      <c r="AJ26" s="1987">
        <f>ROUND(AD26-AG26,1)</f>
        <v>0.2</v>
      </c>
      <c r="AK26" s="2597"/>
      <c r="AL26" s="2598">
        <f>ROUND(IF(AG26=0,0,AJ26/ABS(AG26)),3)</f>
        <v>5.0000000000000001E-3</v>
      </c>
    </row>
    <row r="27" spans="1:39">
      <c r="A27" s="2456"/>
      <c r="B27" s="2464" t="s">
        <v>1101</v>
      </c>
      <c r="C27" s="2543"/>
      <c r="D27" s="2456"/>
      <c r="E27" s="1453">
        <f>ROUND(SUM(E24:E26),1)</f>
        <v>41.3</v>
      </c>
      <c r="F27" s="1992"/>
      <c r="G27" s="1453">
        <f>ROUND(SUM(G24:G26),1)</f>
        <v>0</v>
      </c>
      <c r="H27" s="1992"/>
      <c r="I27" s="1453">
        <f>ROUND(SUM(I24:I26),1)</f>
        <v>0</v>
      </c>
      <c r="J27" s="1992"/>
      <c r="K27" s="1453">
        <f>ROUND(SUM(K24:K26),1)</f>
        <v>0</v>
      </c>
      <c r="L27" s="1992"/>
      <c r="M27" s="1453">
        <f>ROUND(SUM(M24:M26),1)</f>
        <v>0</v>
      </c>
      <c r="N27" s="1992"/>
      <c r="O27" s="1453">
        <f>ROUND(SUM(O24:O26),1)</f>
        <v>0</v>
      </c>
      <c r="P27" s="1987"/>
      <c r="Q27" s="1453">
        <f>ROUND(SUM(Q24:Q26),1)</f>
        <v>0</v>
      </c>
      <c r="R27" s="1987"/>
      <c r="S27" s="1453">
        <f>ROUND(SUM(S24:S26),1)</f>
        <v>0</v>
      </c>
      <c r="T27" s="1987"/>
      <c r="U27" s="1453">
        <f>ROUND(SUM(U24:U26),1)</f>
        <v>0</v>
      </c>
      <c r="V27" s="1987"/>
      <c r="W27" s="1453">
        <f>ROUND(SUM(W24:W26),1)</f>
        <v>0</v>
      </c>
      <c r="X27" s="1987"/>
      <c r="Y27" s="1453">
        <f>ROUND(SUM(Y24:Y26),1)</f>
        <v>0</v>
      </c>
      <c r="Z27" s="1987"/>
      <c r="AA27" s="1453">
        <f>ROUND(SUM(AA24:AA26),1)</f>
        <v>0</v>
      </c>
      <c r="AB27" s="1987"/>
      <c r="AC27" s="2031"/>
      <c r="AD27" s="1453">
        <f>ROUND(SUM(AD24:AD26),1)</f>
        <v>41.3</v>
      </c>
      <c r="AE27" s="3180"/>
      <c r="AF27" s="1969"/>
      <c r="AG27" s="1453">
        <f>ROUND(SUM(AG24:AG26),1)</f>
        <v>38.1</v>
      </c>
      <c r="AH27" s="1987"/>
      <c r="AI27" s="2590"/>
      <c r="AJ27" s="1453">
        <f>ROUND(SUM(AJ24:AJ26),1)</f>
        <v>3.2</v>
      </c>
      <c r="AK27" s="2597"/>
      <c r="AL27" s="2618">
        <f>ROUND(IF(AG27=0,0,AJ27/ABS(AG27)),3)</f>
        <v>8.4000000000000005E-2</v>
      </c>
    </row>
    <row r="28" spans="1:39">
      <c r="A28" s="2456"/>
      <c r="B28" s="2531" t="s">
        <v>1002</v>
      </c>
      <c r="C28" s="2456"/>
      <c r="D28" s="2456"/>
      <c r="E28" s="2599"/>
      <c r="F28" s="1992"/>
      <c r="G28" s="2599"/>
      <c r="H28" s="1992"/>
      <c r="I28" s="1991"/>
      <c r="J28" s="1992"/>
      <c r="K28" s="1991"/>
      <c r="L28" s="1992"/>
      <c r="M28" s="1992"/>
      <c r="N28" s="1992"/>
      <c r="O28" s="1992"/>
      <c r="P28" s="1987"/>
      <c r="Q28" s="2603"/>
      <c r="R28" s="1987"/>
      <c r="S28" s="2603"/>
      <c r="T28" s="1987"/>
      <c r="U28" s="2603"/>
      <c r="V28" s="1987"/>
      <c r="W28" s="2603"/>
      <c r="X28" s="1987"/>
      <c r="Y28" s="2603"/>
      <c r="Z28" s="1987"/>
      <c r="AA28" s="2603"/>
      <c r="AB28" s="1987"/>
      <c r="AC28" s="2031"/>
      <c r="AD28" s="1987"/>
      <c r="AE28" s="3181"/>
      <c r="AF28" s="3182"/>
      <c r="AG28" s="1987"/>
      <c r="AH28" s="1986"/>
      <c r="AI28" s="2600"/>
      <c r="AJ28" s="1986"/>
      <c r="AK28" s="2604"/>
      <c r="AL28" s="1642"/>
      <c r="AM28" s="2588"/>
    </row>
    <row r="29" spans="1:39">
      <c r="A29" s="2456"/>
      <c r="B29" s="2326" t="s">
        <v>1029</v>
      </c>
      <c r="C29" s="2456"/>
      <c r="D29" s="2456"/>
      <c r="E29" s="1992">
        <f>$AD29</f>
        <v>0</v>
      </c>
      <c r="F29" s="1992"/>
      <c r="G29" s="1992"/>
      <c r="H29" s="1992"/>
      <c r="I29" s="1992"/>
      <c r="J29" s="1992"/>
      <c r="K29" s="1992"/>
      <c r="L29" s="2596"/>
      <c r="M29" s="1992"/>
      <c r="N29" s="2596"/>
      <c r="O29" s="1992"/>
      <c r="P29" s="2596"/>
      <c r="Q29" s="1781"/>
      <c r="R29" s="2596"/>
      <c r="S29" s="1781"/>
      <c r="T29" s="2596"/>
      <c r="U29" s="1781"/>
      <c r="V29" s="2596"/>
      <c r="W29" s="1781"/>
      <c r="X29" s="2596"/>
      <c r="Y29" s="1781"/>
      <c r="Z29" s="2596"/>
      <c r="AA29" s="1781"/>
      <c r="AB29" s="1987"/>
      <c r="AC29" s="2031"/>
      <c r="AD29" s="1992">
        <v>0</v>
      </c>
      <c r="AE29" s="3183"/>
      <c r="AF29" s="3182"/>
      <c r="AG29" s="1992">
        <v>0</v>
      </c>
      <c r="AH29" s="1986"/>
      <c r="AI29" s="2600"/>
      <c r="AJ29" s="1987">
        <f>ROUND(AD29-AG29,1)</f>
        <v>0</v>
      </c>
      <c r="AK29" s="2604"/>
      <c r="AL29" s="2598">
        <f>ROUND(IF(AG29=0,0,AJ29/ABS(AG29)),3)</f>
        <v>0</v>
      </c>
      <c r="AM29" s="2588"/>
    </row>
    <row r="30" spans="1:39">
      <c r="B30" s="2464" t="s">
        <v>1102</v>
      </c>
      <c r="C30" s="2456"/>
      <c r="D30" s="2456"/>
      <c r="E30" s="1453">
        <f>ROUND(SUM(E29:E29),1)</f>
        <v>0</v>
      </c>
      <c r="F30" s="1992"/>
      <c r="G30" s="1453">
        <f>ROUND(SUM(G29:G29),1)</f>
        <v>0</v>
      </c>
      <c r="H30" s="1992"/>
      <c r="I30" s="1453">
        <f>ROUND(SUM(I29:I29),1)</f>
        <v>0</v>
      </c>
      <c r="J30" s="1992"/>
      <c r="K30" s="1453">
        <f>ROUND(SUM(K29:K29),1)</f>
        <v>0</v>
      </c>
      <c r="L30" s="1992"/>
      <c r="M30" s="1453">
        <f>ROUND(SUM(M29:M29),1)</f>
        <v>0</v>
      </c>
      <c r="N30" s="1992"/>
      <c r="O30" s="1453">
        <f>ROUND(SUM(O29:O29),1)</f>
        <v>0</v>
      </c>
      <c r="P30" s="1987"/>
      <c r="Q30" s="1453">
        <f>ROUND(SUM(Q29:Q29),1)</f>
        <v>0</v>
      </c>
      <c r="R30" s="1987"/>
      <c r="S30" s="1453">
        <f>ROUND(SUM(S29:S29),1)</f>
        <v>0</v>
      </c>
      <c r="T30" s="1987"/>
      <c r="U30" s="1453">
        <f>ROUND(SUM(U29:U29),1)</f>
        <v>0</v>
      </c>
      <c r="V30" s="1987"/>
      <c r="W30" s="1453">
        <f>ROUND(SUM(W29:W29),1)</f>
        <v>0</v>
      </c>
      <c r="X30" s="1987"/>
      <c r="Y30" s="1453">
        <f>ROUND(SUM(Y29:Y29),1)</f>
        <v>0</v>
      </c>
      <c r="Z30" s="1987"/>
      <c r="AA30" s="1453">
        <f>ROUND(SUM(AA29:AA29),1)</f>
        <v>0</v>
      </c>
      <c r="AB30" s="1987"/>
      <c r="AC30" s="2031"/>
      <c r="AD30" s="1453">
        <f>ROUND(SUM(AD29:AD29),1)</f>
        <v>0</v>
      </c>
      <c r="AE30" s="3183"/>
      <c r="AF30" s="3182"/>
      <c r="AG30" s="1453">
        <f>ROUND(SUM(AG29:AG29),1)</f>
        <v>0</v>
      </c>
      <c r="AH30" s="1986"/>
      <c r="AI30" s="2600"/>
      <c r="AJ30" s="1453">
        <f>ROUND(SUM(AJ29:AJ29),1)</f>
        <v>0</v>
      </c>
      <c r="AK30" s="2604"/>
      <c r="AL30" s="2189">
        <f>ROUND(IF(AG30=0,0,AJ30/ABS(AG30)),3)</f>
        <v>0</v>
      </c>
      <c r="AM30" s="2588"/>
    </row>
    <row r="31" spans="1:39">
      <c r="A31" s="2456"/>
      <c r="B31" s="2543"/>
      <c r="C31" s="2456"/>
      <c r="D31" s="2456"/>
      <c r="E31" s="2599"/>
      <c r="F31" s="1992"/>
      <c r="G31" s="2599"/>
      <c r="H31" s="1992"/>
      <c r="I31" s="1991"/>
      <c r="J31" s="1992"/>
      <c r="K31" s="1991"/>
      <c r="L31" s="1992"/>
      <c r="M31" s="1992"/>
      <c r="N31" s="1992"/>
      <c r="O31" s="1992"/>
      <c r="P31" s="1987"/>
      <c r="Q31" s="2603"/>
      <c r="R31" s="1987"/>
      <c r="S31" s="2603"/>
      <c r="T31" s="1987"/>
      <c r="U31" s="2603"/>
      <c r="V31" s="1987"/>
      <c r="W31" s="2603"/>
      <c r="X31" s="1987"/>
      <c r="Y31" s="2603"/>
      <c r="Z31" s="1987"/>
      <c r="AA31" s="2603"/>
      <c r="AB31" s="1987"/>
      <c r="AC31" s="2031"/>
      <c r="AD31" s="1987"/>
      <c r="AE31" s="3183"/>
      <c r="AF31" s="3182"/>
      <c r="AG31" s="1987"/>
      <c r="AH31" s="1986"/>
      <c r="AI31" s="2600"/>
      <c r="AJ31" s="1986"/>
      <c r="AK31" s="2604"/>
      <c r="AL31" s="3645"/>
      <c r="AM31" s="2588"/>
    </row>
    <row r="32" spans="1:39" s="2611" customFormat="1">
      <c r="A32" s="2543"/>
      <c r="B32" s="2464" t="s">
        <v>1025</v>
      </c>
      <c r="C32" s="2543"/>
      <c r="D32" s="2543"/>
      <c r="E32" s="2601">
        <f>ROUND(SUM(+E27+E22+E30),1)</f>
        <v>84.8</v>
      </c>
      <c r="F32" s="2042"/>
      <c r="G32" s="2601">
        <f>ROUND(SUM(+G27+G22+G30),1)</f>
        <v>0</v>
      </c>
      <c r="H32" s="2042"/>
      <c r="I32" s="2601">
        <f>ROUND(SUM(+I27+I22+I30),1)</f>
        <v>0</v>
      </c>
      <c r="J32" s="2042"/>
      <c r="K32" s="2601">
        <f>ROUND(SUM(+K27+K22+K30),1)</f>
        <v>0</v>
      </c>
      <c r="L32" s="2042"/>
      <c r="M32" s="2027">
        <f>ROUND(SUM(+M27+M22+M30),1)</f>
        <v>0</v>
      </c>
      <c r="N32" s="2042"/>
      <c r="O32" s="2027">
        <f>ROUND(SUM(+O27+O22+O30),1)</f>
        <v>0</v>
      </c>
      <c r="P32" s="2042"/>
      <c r="Q32" s="2027">
        <f>ROUND(SUM(+Q27+Q22+Q30),1)</f>
        <v>0</v>
      </c>
      <c r="R32" s="2042"/>
      <c r="S32" s="2027">
        <f>ROUND(SUM(+S27+S22+S30),1)</f>
        <v>0</v>
      </c>
      <c r="T32" s="2042"/>
      <c r="U32" s="2027">
        <f>ROUND(SUM(+U27+U22+U30),1)</f>
        <v>0</v>
      </c>
      <c r="V32" s="2042"/>
      <c r="W32" s="2027">
        <f>ROUND(SUM(+W27+W22+W30),1)</f>
        <v>0</v>
      </c>
      <c r="X32" s="2042"/>
      <c r="Y32" s="2027">
        <f>ROUND(SUM(+Y27+Y22+Y30),1)</f>
        <v>0</v>
      </c>
      <c r="Z32" s="2042"/>
      <c r="AA32" s="2027">
        <f>ROUND(SUM(+AA27+AA22+AA30),1)</f>
        <v>0</v>
      </c>
      <c r="AB32" s="2042"/>
      <c r="AC32" s="2544"/>
      <c r="AD32" s="2027">
        <f>ROUND(SUM(+AD27+AD22+AD30),1)</f>
        <v>84.8</v>
      </c>
      <c r="AE32" s="3184"/>
      <c r="AF32" s="3185"/>
      <c r="AG32" s="2027">
        <f>ROUND(SUM(+AG27+AG22+AG30),1)</f>
        <v>74.099999999999994</v>
      </c>
      <c r="AH32" s="2602"/>
      <c r="AI32" s="2600"/>
      <c r="AJ32" s="2027">
        <f>ROUND(SUM(+AJ27+AJ22+AJ30),1)</f>
        <v>10.7</v>
      </c>
      <c r="AK32" s="3646"/>
      <c r="AL32" s="2618">
        <f>ROUND(IF(AG32=0,1,AJ32/ABS(AG32)),3)</f>
        <v>0.14399999999999999</v>
      </c>
      <c r="AM32" s="2619"/>
    </row>
    <row r="33" spans="1:39">
      <c r="A33" s="2456"/>
      <c r="B33" s="2495"/>
      <c r="C33" s="2456"/>
      <c r="D33" s="2456"/>
      <c r="E33" s="2599"/>
      <c r="F33" s="1992"/>
      <c r="G33" s="2599"/>
      <c r="H33" s="1992"/>
      <c r="I33" s="1991"/>
      <c r="J33" s="1992"/>
      <c r="K33" s="1991"/>
      <c r="L33" s="1992"/>
      <c r="M33" s="1992"/>
      <c r="N33" s="1992"/>
      <c r="O33" s="1992"/>
      <c r="P33" s="1987"/>
      <c r="Q33" s="2603"/>
      <c r="R33" s="1987"/>
      <c r="S33" s="2603"/>
      <c r="T33" s="1987"/>
      <c r="U33" s="2603"/>
      <c r="V33" s="1987"/>
      <c r="W33" s="2603"/>
      <c r="X33" s="1987"/>
      <c r="Y33" s="2603"/>
      <c r="Z33" s="1987"/>
      <c r="AA33" s="2603"/>
      <c r="AB33" s="1987"/>
      <c r="AC33" s="2031"/>
      <c r="AD33" s="1987"/>
      <c r="AE33" s="3183"/>
      <c r="AF33" s="3182"/>
      <c r="AG33" s="1987"/>
      <c r="AH33" s="1986"/>
      <c r="AI33" s="2600"/>
      <c r="AJ33" s="1986"/>
      <c r="AK33" s="2604"/>
      <c r="AL33" s="1642"/>
      <c r="AM33" s="2588"/>
    </row>
    <row r="34" spans="1:39">
      <c r="A34" s="2456"/>
      <c r="B34" s="2453" t="s">
        <v>933</v>
      </c>
      <c r="C34" s="2456"/>
      <c r="D34" s="2456"/>
      <c r="E34" s="1991"/>
      <c r="F34" s="1992"/>
      <c r="G34" s="1991"/>
      <c r="H34" s="1992"/>
      <c r="I34" s="1991"/>
      <c r="J34" s="1992"/>
      <c r="K34" s="1991"/>
      <c r="L34" s="1992"/>
      <c r="M34" s="1992"/>
      <c r="N34" s="1992"/>
      <c r="O34" s="1992"/>
      <c r="P34" s="1987"/>
      <c r="Q34" s="2603"/>
      <c r="R34" s="1987"/>
      <c r="S34" s="2603"/>
      <c r="T34" s="1987"/>
      <c r="U34" s="2603"/>
      <c r="V34" s="1987"/>
      <c r="W34" s="2603"/>
      <c r="X34" s="1987"/>
      <c r="Y34" s="2603"/>
      <c r="Z34" s="1987"/>
      <c r="AA34" s="2603"/>
      <c r="AB34" s="1987"/>
      <c r="AC34" s="2031"/>
      <c r="AD34" s="1987"/>
      <c r="AE34" s="3177"/>
      <c r="AF34" s="1969"/>
      <c r="AG34" s="1987"/>
      <c r="AH34" s="1986"/>
      <c r="AI34" s="2600"/>
      <c r="AJ34" s="1986"/>
      <c r="AK34" s="2597"/>
      <c r="AL34" s="1790"/>
    </row>
    <row r="35" spans="1:39">
      <c r="A35" s="2456"/>
      <c r="B35" s="2476" t="s">
        <v>1052</v>
      </c>
      <c r="C35" s="2495"/>
      <c r="D35" s="2456"/>
      <c r="E35" s="1991"/>
      <c r="F35" s="1992"/>
      <c r="G35" s="1991"/>
      <c r="H35" s="1992"/>
      <c r="I35" s="1991"/>
      <c r="J35" s="1992"/>
      <c r="K35" s="1991"/>
      <c r="L35" s="1992"/>
      <c r="M35" s="1992"/>
      <c r="N35" s="1992"/>
      <c r="O35" s="1992"/>
      <c r="P35" s="1987"/>
      <c r="Q35" s="2603"/>
      <c r="R35" s="1987"/>
      <c r="S35" s="2603"/>
      <c r="T35" s="1987"/>
      <c r="U35" s="2603"/>
      <c r="V35" s="1987"/>
      <c r="W35" s="2603"/>
      <c r="X35" s="1987"/>
      <c r="Y35" s="2603"/>
      <c r="Z35" s="1987"/>
      <c r="AA35" s="2603"/>
      <c r="AB35" s="1987"/>
      <c r="AC35" s="2031"/>
      <c r="AD35" s="1987"/>
      <c r="AE35" s="3180"/>
      <c r="AF35" s="1969"/>
      <c r="AG35" s="1987"/>
      <c r="AH35" s="1986"/>
      <c r="AI35" s="2600"/>
      <c r="AJ35" s="1986"/>
      <c r="AK35" s="2597"/>
      <c r="AL35" s="1790"/>
    </row>
    <row r="36" spans="1:39">
      <c r="A36" s="2456"/>
      <c r="B36" s="2476" t="s">
        <v>967</v>
      </c>
      <c r="C36" s="2495"/>
      <c r="D36" s="2456"/>
      <c r="E36" s="1992">
        <f>$AD36</f>
        <v>0</v>
      </c>
      <c r="F36" s="1992"/>
      <c r="G36" s="1992"/>
      <c r="H36" s="1992"/>
      <c r="I36" s="1992"/>
      <c r="J36" s="1992"/>
      <c r="K36" s="1992"/>
      <c r="L36" s="2596"/>
      <c r="M36" s="1992"/>
      <c r="N36" s="2596"/>
      <c r="O36" s="1992"/>
      <c r="P36" s="2596"/>
      <c r="Q36" s="1781"/>
      <c r="R36" s="2596"/>
      <c r="S36" s="1781"/>
      <c r="T36" s="2596"/>
      <c r="U36" s="1781"/>
      <c r="V36" s="2596"/>
      <c r="W36" s="1781"/>
      <c r="X36" s="2596"/>
      <c r="Y36" s="1781"/>
      <c r="Z36" s="2596"/>
      <c r="AA36" s="1781"/>
      <c r="AB36" s="1987"/>
      <c r="AC36" s="2031"/>
      <c r="AD36" s="1992">
        <v>0</v>
      </c>
      <c r="AE36" s="3180"/>
      <c r="AF36" s="1969"/>
      <c r="AG36" s="1992">
        <v>0</v>
      </c>
      <c r="AH36" s="1986"/>
      <c r="AI36" s="2600"/>
      <c r="AJ36" s="1987">
        <f t="shared" ref="AJ36:AJ59" si="2">ROUND(AD36-AG36,1)</f>
        <v>0</v>
      </c>
      <c r="AK36" s="2597"/>
      <c r="AL36" s="1642">
        <f>ROUND(IF(AG36=0,0,AJ36/ABS(AG36)),3)</f>
        <v>0</v>
      </c>
    </row>
    <row r="37" spans="1:39">
      <c r="A37" s="2456"/>
      <c r="B37" s="2476" t="s">
        <v>1053</v>
      </c>
      <c r="C37" s="2495"/>
      <c r="D37" s="2456"/>
      <c r="E37" s="1992" t="s">
        <v>14</v>
      </c>
      <c r="F37" s="1992"/>
      <c r="G37" s="1992"/>
      <c r="H37" s="1992"/>
      <c r="I37" s="1992"/>
      <c r="J37" s="1992"/>
      <c r="K37" s="1992"/>
      <c r="L37" s="2596"/>
      <c r="M37" s="1992"/>
      <c r="N37" s="2596"/>
      <c r="O37" s="1992"/>
      <c r="P37" s="2596"/>
      <c r="Q37" s="1781"/>
      <c r="R37" s="2596"/>
      <c r="S37" s="1781"/>
      <c r="T37" s="2596"/>
      <c r="U37" s="1781"/>
      <c r="V37" s="2596"/>
      <c r="W37" s="1781"/>
      <c r="X37" s="2596"/>
      <c r="Y37" s="1781"/>
      <c r="Z37" s="2596"/>
      <c r="AA37" s="1781"/>
      <c r="AB37" s="1987"/>
      <c r="AC37" s="2031"/>
      <c r="AD37" s="2603"/>
      <c r="AE37" s="3180"/>
      <c r="AF37" s="1969"/>
      <c r="AG37" s="2603"/>
      <c r="AH37" s="1986"/>
      <c r="AI37" s="2600"/>
      <c r="AJ37" s="1987"/>
      <c r="AK37" s="2597"/>
      <c r="AL37" s="1790"/>
    </row>
    <row r="38" spans="1:39">
      <c r="A38" s="2456"/>
      <c r="B38" s="2476" t="s">
        <v>968</v>
      </c>
      <c r="C38" s="2495"/>
      <c r="D38" s="2456"/>
      <c r="E38" s="1992">
        <f>$AD38</f>
        <v>10</v>
      </c>
      <c r="F38" s="1992"/>
      <c r="G38" s="1992"/>
      <c r="H38" s="1992"/>
      <c r="I38" s="1992"/>
      <c r="J38" s="1992"/>
      <c r="K38" s="1992"/>
      <c r="L38" s="2596"/>
      <c r="M38" s="1992"/>
      <c r="N38" s="2596"/>
      <c r="O38" s="1992"/>
      <c r="P38" s="2596"/>
      <c r="Q38" s="1781"/>
      <c r="R38" s="2596"/>
      <c r="S38" s="1781"/>
      <c r="T38" s="2596"/>
      <c r="U38" s="1781"/>
      <c r="V38" s="2596"/>
      <c r="W38" s="1781"/>
      <c r="X38" s="2596"/>
      <c r="Y38" s="1781"/>
      <c r="Z38" s="2596"/>
      <c r="AA38" s="1781"/>
      <c r="AB38" s="1987"/>
      <c r="AC38" s="2031"/>
      <c r="AD38" s="1992">
        <v>10</v>
      </c>
      <c r="AE38" s="3180"/>
      <c r="AF38" s="1969"/>
      <c r="AG38" s="1992">
        <v>7.9</v>
      </c>
      <c r="AH38" s="1986"/>
      <c r="AI38" s="2600"/>
      <c r="AJ38" s="1987">
        <f t="shared" si="2"/>
        <v>2.1</v>
      </c>
      <c r="AK38" s="2597"/>
      <c r="AL38" s="1642">
        <f>ROUND(IF(AG38=0,0,AJ38/ABS(AG38)),3)</f>
        <v>0.26600000000000001</v>
      </c>
    </row>
    <row r="39" spans="1:39">
      <c r="A39" s="2456"/>
      <c r="B39" s="2476" t="s">
        <v>1058</v>
      </c>
      <c r="C39" s="2495"/>
      <c r="D39" s="2456"/>
      <c r="E39" s="1992" t="s">
        <v>14</v>
      </c>
      <c r="F39" s="1992"/>
      <c r="G39" s="1992"/>
      <c r="H39" s="1992"/>
      <c r="I39" s="1992"/>
      <c r="J39" s="1992"/>
      <c r="K39" s="1992"/>
      <c r="L39" s="2596"/>
      <c r="M39" s="1992"/>
      <c r="N39" s="2596"/>
      <c r="O39" s="1992"/>
      <c r="P39" s="2596"/>
      <c r="Q39" s="1781"/>
      <c r="R39" s="2596"/>
      <c r="S39" s="1781"/>
      <c r="T39" s="2596"/>
      <c r="U39" s="1781"/>
      <c r="V39" s="2596"/>
      <c r="W39" s="1781"/>
      <c r="X39" s="2596"/>
      <c r="Y39" s="1781"/>
      <c r="Z39" s="2596"/>
      <c r="AA39" s="1781"/>
      <c r="AB39" s="1987"/>
      <c r="AC39" s="2031"/>
      <c r="AD39" s="2603"/>
      <c r="AE39" s="3180"/>
      <c r="AF39" s="1969"/>
      <c r="AG39" s="2603"/>
      <c r="AH39" s="1986"/>
      <c r="AI39" s="2600"/>
      <c r="AJ39" s="1987"/>
      <c r="AK39" s="2597"/>
      <c r="AL39" s="1790"/>
    </row>
    <row r="40" spans="1:39">
      <c r="A40" s="2456"/>
      <c r="B40" s="2476" t="s">
        <v>972</v>
      </c>
      <c r="C40" s="2495"/>
      <c r="D40" s="2456"/>
      <c r="E40" s="1992">
        <f>$AD40</f>
        <v>1.3</v>
      </c>
      <c r="F40" s="1992"/>
      <c r="G40" s="1992"/>
      <c r="H40" s="1992"/>
      <c r="I40" s="1992"/>
      <c r="J40" s="1992"/>
      <c r="K40" s="1992"/>
      <c r="L40" s="2596"/>
      <c r="M40" s="1992"/>
      <c r="N40" s="2596"/>
      <c r="O40" s="1992"/>
      <c r="P40" s="2596"/>
      <c r="Q40" s="1781"/>
      <c r="R40" s="2596"/>
      <c r="S40" s="1781"/>
      <c r="T40" s="2596"/>
      <c r="U40" s="1781"/>
      <c r="V40" s="2596"/>
      <c r="W40" s="1781"/>
      <c r="X40" s="2596"/>
      <c r="Y40" s="1781"/>
      <c r="Z40" s="2596"/>
      <c r="AA40" s="1781"/>
      <c r="AB40" s="1987"/>
      <c r="AC40" s="2031"/>
      <c r="AD40" s="1992">
        <v>1.3</v>
      </c>
      <c r="AE40" s="3180"/>
      <c r="AF40" s="1969"/>
      <c r="AG40" s="1992">
        <v>1.8</v>
      </c>
      <c r="AH40" s="1986"/>
      <c r="AI40" s="2600"/>
      <c r="AJ40" s="1987">
        <f t="shared" si="2"/>
        <v>-0.5</v>
      </c>
      <c r="AK40" s="2597"/>
      <c r="AL40" s="1642">
        <f>ROUND(IF(AG40=0,0,AJ40/ABS(AG40)),3)</f>
        <v>-0.27800000000000002</v>
      </c>
    </row>
    <row r="41" spans="1:39">
      <c r="A41" s="2456"/>
      <c r="B41" s="2476" t="s">
        <v>1115</v>
      </c>
      <c r="C41" s="2495"/>
      <c r="D41" s="2456"/>
      <c r="E41" s="1992">
        <f t="shared" ref="E41:E45" si="3">$AD41</f>
        <v>0</v>
      </c>
      <c r="F41" s="1992"/>
      <c r="G41" s="1992"/>
      <c r="H41" s="1992"/>
      <c r="I41" s="1992"/>
      <c r="J41" s="1992"/>
      <c r="K41" s="1992"/>
      <c r="L41" s="2596"/>
      <c r="M41" s="1992"/>
      <c r="N41" s="2596"/>
      <c r="O41" s="1992"/>
      <c r="P41" s="2596"/>
      <c r="Q41" s="1781"/>
      <c r="R41" s="2596"/>
      <c r="S41" s="1781"/>
      <c r="T41" s="2596"/>
      <c r="U41" s="1781"/>
      <c r="V41" s="2596"/>
      <c r="W41" s="1781"/>
      <c r="X41" s="2596"/>
      <c r="Y41" s="1781"/>
      <c r="Z41" s="2596"/>
      <c r="AA41" s="1781"/>
      <c r="AB41" s="1987"/>
      <c r="AC41" s="2031"/>
      <c r="AD41" s="1992">
        <v>0</v>
      </c>
      <c r="AE41" s="3186"/>
      <c r="AF41" s="1969"/>
      <c r="AG41" s="1992">
        <v>0</v>
      </c>
      <c r="AH41" s="1986"/>
      <c r="AI41" s="2600"/>
      <c r="AJ41" s="1987">
        <f>ROUND(AD41-AG41,1)</f>
        <v>0</v>
      </c>
      <c r="AK41" s="2597"/>
      <c r="AL41" s="1716">
        <f>ROUND(IF(AG41=0,0,AJ41/ABS(AG41)),3)</f>
        <v>0</v>
      </c>
    </row>
    <row r="42" spans="1:39">
      <c r="A42" s="2456"/>
      <c r="B42" s="2476" t="s">
        <v>975</v>
      </c>
      <c r="C42" s="2495"/>
      <c r="D42" s="2456"/>
      <c r="E42" s="1992">
        <f t="shared" si="3"/>
        <v>79.2</v>
      </c>
      <c r="F42" s="1992"/>
      <c r="G42" s="1992"/>
      <c r="H42" s="1992"/>
      <c r="I42" s="1992"/>
      <c r="J42" s="1992"/>
      <c r="K42" s="1992"/>
      <c r="L42" s="2596"/>
      <c r="M42" s="1992"/>
      <c r="N42" s="2596"/>
      <c r="O42" s="1992"/>
      <c r="P42" s="2596"/>
      <c r="Q42" s="1781"/>
      <c r="R42" s="2596"/>
      <c r="S42" s="1781"/>
      <c r="T42" s="2596"/>
      <c r="U42" s="1781"/>
      <c r="V42" s="2596"/>
      <c r="W42" s="1781"/>
      <c r="X42" s="2596"/>
      <c r="Y42" s="1781"/>
      <c r="Z42" s="2596"/>
      <c r="AA42" s="1781"/>
      <c r="AB42" s="1987"/>
      <c r="AC42" s="2031"/>
      <c r="AD42" s="3843">
        <v>79.2</v>
      </c>
      <c r="AE42" s="3180"/>
      <c r="AF42" s="1969"/>
      <c r="AG42" s="1992">
        <v>52.2</v>
      </c>
      <c r="AH42" s="1986"/>
      <c r="AI42" s="2600"/>
      <c r="AJ42" s="1987">
        <f t="shared" si="2"/>
        <v>27</v>
      </c>
      <c r="AK42" s="2597"/>
      <c r="AL42" s="1642">
        <f>ROUND(IF(AG42=0,0,AJ42/ABS(AG42)),3)</f>
        <v>0.51700000000000002</v>
      </c>
    </row>
    <row r="43" spans="1:39">
      <c r="A43" s="2456"/>
      <c r="B43" s="2476" t="s">
        <v>976</v>
      </c>
      <c r="C43" s="2495"/>
      <c r="D43" s="2456"/>
      <c r="E43" s="1992">
        <f t="shared" si="3"/>
        <v>1.5</v>
      </c>
      <c r="F43" s="1992"/>
      <c r="G43" s="1992"/>
      <c r="H43" s="1992"/>
      <c r="I43" s="1992"/>
      <c r="J43" s="1992"/>
      <c r="K43" s="1992"/>
      <c r="L43" s="2596"/>
      <c r="M43" s="1992"/>
      <c r="N43" s="2596"/>
      <c r="O43" s="1992"/>
      <c r="P43" s="2596"/>
      <c r="Q43" s="1781"/>
      <c r="R43" s="2596"/>
      <c r="S43" s="1781"/>
      <c r="T43" s="2596"/>
      <c r="U43" s="1781"/>
      <c r="V43" s="2596"/>
      <c r="W43" s="1781"/>
      <c r="X43" s="2596"/>
      <c r="Y43" s="1781"/>
      <c r="Z43" s="2596"/>
      <c r="AA43" s="1781"/>
      <c r="AB43" s="1987"/>
      <c r="AC43" s="2031"/>
      <c r="AD43" s="1992">
        <v>1.5</v>
      </c>
      <c r="AE43" s="3180"/>
      <c r="AF43" s="1969"/>
      <c r="AG43" s="1992">
        <v>0</v>
      </c>
      <c r="AH43" s="1986"/>
      <c r="AI43" s="2600"/>
      <c r="AJ43" s="1987">
        <f t="shared" si="2"/>
        <v>1.5</v>
      </c>
      <c r="AK43" s="2597"/>
      <c r="AL43" s="1721">
        <f>ROUND(IF(AG43=0,1,AJ43/ABS(AG43)),3)</f>
        <v>1</v>
      </c>
    </row>
    <row r="44" spans="1:39">
      <c r="A44" s="2456"/>
      <c r="B44" s="2476" t="s">
        <v>934</v>
      </c>
      <c r="C44" s="2495"/>
      <c r="D44" s="2456"/>
      <c r="E44" s="1992">
        <f t="shared" si="3"/>
        <v>2.5</v>
      </c>
      <c r="F44" s="1992"/>
      <c r="G44" s="1992"/>
      <c r="H44" s="1992"/>
      <c r="I44" s="1992"/>
      <c r="J44" s="1992"/>
      <c r="K44" s="1992"/>
      <c r="L44" s="2596"/>
      <c r="M44" s="1992"/>
      <c r="N44" s="2596"/>
      <c r="O44" s="1992"/>
      <c r="P44" s="2596"/>
      <c r="Q44" s="1781"/>
      <c r="R44" s="2596"/>
      <c r="S44" s="1781"/>
      <c r="T44" s="2596"/>
      <c r="U44" s="1781"/>
      <c r="V44" s="2596"/>
      <c r="W44" s="1781"/>
      <c r="X44" s="2596"/>
      <c r="Y44" s="1781"/>
      <c r="Z44" s="2596"/>
      <c r="AA44" s="1781"/>
      <c r="AB44" s="1987"/>
      <c r="AC44" s="2031"/>
      <c r="AD44" s="1992">
        <v>2.5</v>
      </c>
      <c r="AE44" s="3180"/>
      <c r="AF44" s="1969"/>
      <c r="AG44" s="1992">
        <v>2</v>
      </c>
      <c r="AH44" s="1986"/>
      <c r="AI44" s="2600"/>
      <c r="AJ44" s="1987">
        <f t="shared" si="2"/>
        <v>0.5</v>
      </c>
      <c r="AK44" s="2597"/>
      <c r="AL44" s="1721">
        <f>ROUND(IF(AG44=0,1,AJ44/ABS(AG44)),3)</f>
        <v>0.25</v>
      </c>
    </row>
    <row r="45" spans="1:39">
      <c r="A45" s="2456"/>
      <c r="B45" s="2476" t="s">
        <v>935</v>
      </c>
      <c r="C45" s="2495"/>
      <c r="D45" s="2456"/>
      <c r="E45" s="1992">
        <f t="shared" si="3"/>
        <v>0</v>
      </c>
      <c r="F45" s="1992"/>
      <c r="G45" s="1992"/>
      <c r="H45" s="1992"/>
      <c r="I45" s="1992"/>
      <c r="J45" s="1992"/>
      <c r="K45" s="1992"/>
      <c r="L45" s="2596"/>
      <c r="M45" s="1992"/>
      <c r="N45" s="2596"/>
      <c r="O45" s="1992"/>
      <c r="P45" s="2596"/>
      <c r="Q45" s="1781"/>
      <c r="R45" s="2596"/>
      <c r="S45" s="1781"/>
      <c r="T45" s="2596"/>
      <c r="U45" s="1781"/>
      <c r="V45" s="2596"/>
      <c r="W45" s="1781"/>
      <c r="X45" s="2596"/>
      <c r="Y45" s="1781"/>
      <c r="Z45" s="2596"/>
      <c r="AA45" s="1781"/>
      <c r="AB45" s="1987"/>
      <c r="AC45" s="2031"/>
      <c r="AD45" s="1992">
        <v>0</v>
      </c>
      <c r="AE45" s="3180"/>
      <c r="AF45" s="1969"/>
      <c r="AG45" s="1992">
        <v>0.7</v>
      </c>
      <c r="AH45" s="1986"/>
      <c r="AI45" s="2600"/>
      <c r="AJ45" s="1987">
        <f t="shared" si="2"/>
        <v>-0.7</v>
      </c>
      <c r="AK45" s="2597"/>
      <c r="AL45" s="1716">
        <f>ROUND(IF(AG45=0,0,AJ45/ABS(AG45)),3)</f>
        <v>-1</v>
      </c>
    </row>
    <row r="46" spans="1:39">
      <c r="A46" s="2456"/>
      <c r="B46" s="2476" t="s">
        <v>953</v>
      </c>
      <c r="C46" s="2495"/>
      <c r="D46" s="2456"/>
      <c r="E46" s="1992">
        <f>$AD46</f>
        <v>0</v>
      </c>
      <c r="F46" s="1992"/>
      <c r="G46" s="1992"/>
      <c r="H46" s="1992"/>
      <c r="I46" s="1992"/>
      <c r="J46" s="1992"/>
      <c r="K46" s="1992"/>
      <c r="L46" s="2596"/>
      <c r="M46" s="1992"/>
      <c r="N46" s="2596"/>
      <c r="O46" s="1992"/>
      <c r="P46" s="2596"/>
      <c r="Q46" s="1781"/>
      <c r="R46" s="2596"/>
      <c r="S46" s="1781"/>
      <c r="T46" s="2596"/>
      <c r="U46" s="1781"/>
      <c r="V46" s="2596"/>
      <c r="W46" s="1781"/>
      <c r="X46" s="2596"/>
      <c r="Y46" s="1781"/>
      <c r="Z46" s="2596"/>
      <c r="AA46" s="1781"/>
      <c r="AB46" s="1987"/>
      <c r="AC46" s="2031"/>
      <c r="AD46" s="1992">
        <v>0</v>
      </c>
      <c r="AE46" s="3180"/>
      <c r="AF46" s="1969"/>
      <c r="AG46" s="1992">
        <v>0</v>
      </c>
      <c r="AH46" s="1986"/>
      <c r="AI46" s="2600"/>
      <c r="AJ46" s="1987">
        <f>ROUND(AD46-AG46,1)</f>
        <v>0</v>
      </c>
      <c r="AK46" s="2597"/>
      <c r="AL46" s="1642">
        <f>ROUND(IF(AG46=0,0,AJ46/ABS(AG46)),3)</f>
        <v>0</v>
      </c>
    </row>
    <row r="47" spans="1:39">
      <c r="A47" s="2456"/>
      <c r="B47" s="2476" t="s">
        <v>1056</v>
      </c>
      <c r="C47" s="2495"/>
      <c r="D47" s="2456"/>
      <c r="E47" s="1992" t="s">
        <v>14</v>
      </c>
      <c r="F47" s="1992"/>
      <c r="G47" s="1992"/>
      <c r="H47" s="1992"/>
      <c r="I47" s="1992"/>
      <c r="J47" s="1992"/>
      <c r="K47" s="1992"/>
      <c r="L47" s="2596"/>
      <c r="M47" s="1992"/>
      <c r="N47" s="2596"/>
      <c r="O47" s="1992"/>
      <c r="P47" s="2596"/>
      <c r="Q47" s="1781"/>
      <c r="R47" s="2596"/>
      <c r="S47" s="1781"/>
      <c r="T47" s="2596"/>
      <c r="U47" s="1781"/>
      <c r="V47" s="2596"/>
      <c r="W47" s="1781"/>
      <c r="X47" s="2596"/>
      <c r="Y47" s="1781"/>
      <c r="Z47" s="2596"/>
      <c r="AA47" s="1781"/>
      <c r="AB47" s="1987"/>
      <c r="AC47" s="2031"/>
      <c r="AD47" s="2603"/>
      <c r="AE47" s="3180"/>
      <c r="AF47" s="1969"/>
      <c r="AG47" s="2603"/>
      <c r="AH47" s="1986"/>
      <c r="AI47" s="2600"/>
      <c r="AJ47" s="1987"/>
      <c r="AK47" s="2597"/>
      <c r="AL47" s="1790"/>
    </row>
    <row r="48" spans="1:39">
      <c r="A48" s="2456"/>
      <c r="B48" s="2476" t="s">
        <v>980</v>
      </c>
      <c r="C48" s="2495"/>
      <c r="D48" s="2456"/>
      <c r="E48" s="1992">
        <f t="shared" ref="E48:E51" si="4">$AD48</f>
        <v>78.399999999999991</v>
      </c>
      <c r="F48" s="1992"/>
      <c r="G48" s="1992"/>
      <c r="H48" s="1992"/>
      <c r="I48" s="1992"/>
      <c r="J48" s="1992"/>
      <c r="K48" s="1992"/>
      <c r="L48" s="2596"/>
      <c r="M48" s="1992"/>
      <c r="N48" s="2596"/>
      <c r="O48" s="1992"/>
      <c r="P48" s="2596"/>
      <c r="Q48" s="1781"/>
      <c r="R48" s="2596"/>
      <c r="S48" s="1781"/>
      <c r="T48" s="2596"/>
      <c r="U48" s="1781"/>
      <c r="V48" s="2596"/>
      <c r="W48" s="1781"/>
      <c r="X48" s="2596"/>
      <c r="Y48" s="1781"/>
      <c r="Z48" s="2596"/>
      <c r="AA48" s="1781"/>
      <c r="AB48" s="1987"/>
      <c r="AC48" s="2031"/>
      <c r="AD48" s="1992">
        <v>78.399999999999991</v>
      </c>
      <c r="AE48" s="3180"/>
      <c r="AF48" s="1969"/>
      <c r="AG48" s="1992">
        <v>1122.0999999999999</v>
      </c>
      <c r="AH48" s="1986"/>
      <c r="AI48" s="2600"/>
      <c r="AJ48" s="1987">
        <f t="shared" si="2"/>
        <v>-1043.7</v>
      </c>
      <c r="AK48" s="2597"/>
      <c r="AL48" s="3647">
        <f>ROUND(IF(AG48=0,0,AJ48/ABS(AG48)),3)</f>
        <v>-0.93</v>
      </c>
    </row>
    <row r="49" spans="1:41" s="2606" customFormat="1">
      <c r="A49" s="3648"/>
      <c r="B49" s="2476" t="s">
        <v>982</v>
      </c>
      <c r="C49" s="2495"/>
      <c r="D49" s="2495"/>
      <c r="E49" s="1992">
        <f t="shared" si="4"/>
        <v>0</v>
      </c>
      <c r="F49" s="1991"/>
      <c r="G49" s="1992"/>
      <c r="H49" s="1991"/>
      <c r="I49" s="1992"/>
      <c r="J49" s="1991"/>
      <c r="K49" s="1992"/>
      <c r="L49" s="2596"/>
      <c r="M49" s="1992"/>
      <c r="N49" s="2596"/>
      <c r="O49" s="1992"/>
      <c r="P49" s="2596"/>
      <c r="Q49" s="1781"/>
      <c r="R49" s="2596"/>
      <c r="S49" s="1781"/>
      <c r="T49" s="2596"/>
      <c r="U49" s="1781"/>
      <c r="V49" s="2596"/>
      <c r="W49" s="1781"/>
      <c r="X49" s="2596"/>
      <c r="Y49" s="1781"/>
      <c r="Z49" s="2596"/>
      <c r="AA49" s="1781"/>
      <c r="AB49" s="1992"/>
      <c r="AC49" s="1993"/>
      <c r="AD49" s="1992">
        <v>0</v>
      </c>
      <c r="AE49" s="3187"/>
      <c r="AF49" s="2033"/>
      <c r="AG49" s="1992">
        <v>0</v>
      </c>
      <c r="AH49" s="2024"/>
      <c r="AI49" s="2600"/>
      <c r="AJ49" s="1992">
        <f t="shared" si="2"/>
        <v>0</v>
      </c>
      <c r="AK49" s="2605"/>
      <c r="AL49" s="1716">
        <f>ROUND(IF(AG49=0,0,AJ49/ABS(AG49)),3)</f>
        <v>0</v>
      </c>
    </row>
    <row r="50" spans="1:41">
      <c r="A50" s="2456"/>
      <c r="B50" s="2476" t="s">
        <v>983</v>
      </c>
      <c r="C50" s="2495"/>
      <c r="D50" s="2456"/>
      <c r="E50" s="1992">
        <f t="shared" si="4"/>
        <v>0.5</v>
      </c>
      <c r="F50" s="1992"/>
      <c r="G50" s="1992"/>
      <c r="H50" s="1992"/>
      <c r="I50" s="1992"/>
      <c r="J50" s="1992"/>
      <c r="K50" s="1992"/>
      <c r="L50" s="2596"/>
      <c r="M50" s="1992"/>
      <c r="N50" s="2596"/>
      <c r="O50" s="1992"/>
      <c r="P50" s="2596"/>
      <c r="Q50" s="1781"/>
      <c r="R50" s="2596"/>
      <c r="S50" s="1781"/>
      <c r="T50" s="2596"/>
      <c r="U50" s="1781"/>
      <c r="V50" s="2596"/>
      <c r="W50" s="1781"/>
      <c r="X50" s="2596"/>
      <c r="Y50" s="1781"/>
      <c r="Z50" s="2596"/>
      <c r="AA50" s="1781"/>
      <c r="AB50" s="1987"/>
      <c r="AC50" s="2031"/>
      <c r="AD50" s="1992">
        <v>0.5</v>
      </c>
      <c r="AE50" s="3180"/>
      <c r="AF50" s="1969"/>
      <c r="AG50" s="1992">
        <v>0.1</v>
      </c>
      <c r="AH50" s="1986"/>
      <c r="AI50" s="2600"/>
      <c r="AJ50" s="1987">
        <f t="shared" si="2"/>
        <v>0.4</v>
      </c>
      <c r="AK50" s="2597"/>
      <c r="AL50" s="2607">
        <f>ROUND(IF(AG50=0,1,AJ50/ABS(AG50)),3)</f>
        <v>4</v>
      </c>
    </row>
    <row r="51" spans="1:41">
      <c r="A51" s="2456"/>
      <c r="B51" s="2476" t="s">
        <v>954</v>
      </c>
      <c r="C51" s="2495"/>
      <c r="D51" s="2456"/>
      <c r="E51" s="1992">
        <f t="shared" si="4"/>
        <v>3.3</v>
      </c>
      <c r="F51" s="1992"/>
      <c r="G51" s="1992"/>
      <c r="H51" s="1992"/>
      <c r="I51" s="1992"/>
      <c r="J51" s="1992"/>
      <c r="K51" s="1992"/>
      <c r="L51" s="2596"/>
      <c r="M51" s="1992"/>
      <c r="N51" s="2596"/>
      <c r="O51" s="1992"/>
      <c r="P51" s="2596"/>
      <c r="Q51" s="1781"/>
      <c r="R51" s="2596"/>
      <c r="S51" s="1781"/>
      <c r="T51" s="2596"/>
      <c r="U51" s="1781"/>
      <c r="V51" s="2596"/>
      <c r="W51" s="1781"/>
      <c r="X51" s="2596"/>
      <c r="Y51" s="1781"/>
      <c r="Z51" s="2596"/>
      <c r="AA51" s="1781"/>
      <c r="AB51" s="1987"/>
      <c r="AC51" s="2031"/>
      <c r="AD51" s="1992">
        <v>3.3</v>
      </c>
      <c r="AE51" s="3180"/>
      <c r="AF51" s="1969"/>
      <c r="AG51" s="1992">
        <v>0.4</v>
      </c>
      <c r="AH51" s="1986"/>
      <c r="AI51" s="2600"/>
      <c r="AJ51" s="1987">
        <f t="shared" si="2"/>
        <v>2.9</v>
      </c>
      <c r="AK51" s="2597"/>
      <c r="AL51" s="1642">
        <f>ROUND(IF(AG51=0,0,AJ51/ABS(AG51)),3)</f>
        <v>7.25</v>
      </c>
    </row>
    <row r="52" spans="1:41">
      <c r="A52" s="2456"/>
      <c r="B52" s="2476" t="s">
        <v>1057</v>
      </c>
      <c r="C52" s="2495"/>
      <c r="D52" s="2456"/>
      <c r="E52" s="1992" t="s">
        <v>14</v>
      </c>
      <c r="F52" s="1992"/>
      <c r="G52" s="1992"/>
      <c r="H52" s="1992"/>
      <c r="I52" s="1992"/>
      <c r="J52" s="1992"/>
      <c r="K52" s="1992"/>
      <c r="L52" s="2596"/>
      <c r="M52" s="1992"/>
      <c r="N52" s="2596"/>
      <c r="O52" s="1992"/>
      <c r="P52" s="2596"/>
      <c r="Q52" s="1781"/>
      <c r="R52" s="2596"/>
      <c r="S52" s="1781"/>
      <c r="T52" s="2596"/>
      <c r="U52" s="1781"/>
      <c r="V52" s="2596"/>
      <c r="W52" s="1781"/>
      <c r="X52" s="2596"/>
      <c r="Y52" s="1781"/>
      <c r="Z52" s="2596"/>
      <c r="AA52" s="1781"/>
      <c r="AB52" s="1987"/>
      <c r="AC52" s="2031"/>
      <c r="AD52" s="2603"/>
      <c r="AE52" s="3180"/>
      <c r="AF52" s="1969"/>
      <c r="AG52" s="2603"/>
      <c r="AH52" s="1986"/>
      <c r="AI52" s="2600"/>
      <c r="AJ52" s="1987"/>
      <c r="AK52" s="2597"/>
      <c r="AL52" s="1790"/>
    </row>
    <row r="53" spans="1:41">
      <c r="A53" s="2456"/>
      <c r="B53" s="2476" t="s">
        <v>984</v>
      </c>
      <c r="C53" s="2495"/>
      <c r="D53" s="2456"/>
      <c r="E53" s="1992">
        <f t="shared" ref="E53:E59" si="5">$AD53</f>
        <v>0</v>
      </c>
      <c r="F53" s="1991"/>
      <c r="G53" s="1992"/>
      <c r="H53" s="1992"/>
      <c r="I53" s="1992"/>
      <c r="J53" s="1992"/>
      <c r="K53" s="1992"/>
      <c r="L53" s="2596"/>
      <c r="M53" s="1992"/>
      <c r="N53" s="2596"/>
      <c r="O53" s="1992"/>
      <c r="P53" s="2596"/>
      <c r="Q53" s="1781"/>
      <c r="R53" s="2596"/>
      <c r="S53" s="1781"/>
      <c r="T53" s="2596"/>
      <c r="U53" s="1781"/>
      <c r="V53" s="2596"/>
      <c r="W53" s="1781"/>
      <c r="X53" s="2596"/>
      <c r="Y53" s="1781"/>
      <c r="Z53" s="2596"/>
      <c r="AA53" s="1781"/>
      <c r="AB53" s="1987"/>
      <c r="AC53" s="2031"/>
      <c r="AD53" s="1992">
        <v>0</v>
      </c>
      <c r="AE53" s="3180"/>
      <c r="AF53" s="1969"/>
      <c r="AG53" s="1992">
        <v>0</v>
      </c>
      <c r="AH53" s="1986"/>
      <c r="AI53" s="2600"/>
      <c r="AJ53" s="1987">
        <f t="shared" si="2"/>
        <v>0</v>
      </c>
      <c r="AK53" s="2597"/>
      <c r="AL53" s="1642">
        <f>ROUND(IF(AG53=0,0,AJ53/ABS(AG53)),3)</f>
        <v>0</v>
      </c>
    </row>
    <row r="54" spans="1:41">
      <c r="A54" s="2456"/>
      <c r="B54" s="2476" t="s">
        <v>986</v>
      </c>
      <c r="C54" s="2495"/>
      <c r="D54" s="2456"/>
      <c r="E54" s="1992">
        <f t="shared" si="5"/>
        <v>1.8</v>
      </c>
      <c r="F54" s="1991"/>
      <c r="G54" s="1992"/>
      <c r="H54" s="1992"/>
      <c r="I54" s="1992"/>
      <c r="J54" s="1992"/>
      <c r="K54" s="1992"/>
      <c r="L54" s="2596"/>
      <c r="M54" s="1992"/>
      <c r="N54" s="2596"/>
      <c r="O54" s="1992"/>
      <c r="P54" s="2596"/>
      <c r="Q54" s="1781"/>
      <c r="R54" s="2596"/>
      <c r="S54" s="1781"/>
      <c r="T54" s="2596"/>
      <c r="U54" s="1781"/>
      <c r="V54" s="2596"/>
      <c r="W54" s="1781"/>
      <c r="X54" s="2596"/>
      <c r="Y54" s="1781"/>
      <c r="Z54" s="2596"/>
      <c r="AA54" s="1781"/>
      <c r="AB54" s="1987"/>
      <c r="AC54" s="2031"/>
      <c r="AD54" s="1992">
        <v>1.8</v>
      </c>
      <c r="AE54" s="3180"/>
      <c r="AF54" s="1969"/>
      <c r="AG54" s="1992">
        <v>0</v>
      </c>
      <c r="AH54" s="1986"/>
      <c r="AI54" s="2600"/>
      <c r="AJ54" s="1987">
        <f t="shared" si="2"/>
        <v>1.8</v>
      </c>
      <c r="AK54" s="2597"/>
      <c r="AL54" s="2188">
        <f>ROUND(IF(AG54=0,1,AJ54/ABS(AG54)),3)</f>
        <v>1</v>
      </c>
    </row>
    <row r="55" spans="1:41">
      <c r="A55" s="2456"/>
      <c r="B55" s="2476" t="s">
        <v>987</v>
      </c>
      <c r="C55" s="2495"/>
      <c r="D55" s="2456"/>
      <c r="E55" s="1992">
        <f t="shared" si="5"/>
        <v>0</v>
      </c>
      <c r="F55" s="1991"/>
      <c r="G55" s="1992"/>
      <c r="H55" s="1992"/>
      <c r="I55" s="1992"/>
      <c r="J55" s="1992"/>
      <c r="K55" s="1992"/>
      <c r="L55" s="2596"/>
      <c r="M55" s="1992"/>
      <c r="N55" s="2596"/>
      <c r="O55" s="1992"/>
      <c r="P55" s="2596"/>
      <c r="Q55" s="1781"/>
      <c r="R55" s="2596"/>
      <c r="S55" s="1781"/>
      <c r="T55" s="2596"/>
      <c r="U55" s="1781"/>
      <c r="V55" s="2596"/>
      <c r="W55" s="1781"/>
      <c r="X55" s="2596"/>
      <c r="Y55" s="1781"/>
      <c r="Z55" s="2596"/>
      <c r="AA55" s="1781"/>
      <c r="AB55" s="1987"/>
      <c r="AC55" s="2031"/>
      <c r="AD55" s="1992">
        <v>0</v>
      </c>
      <c r="AE55" s="2174"/>
      <c r="AF55" s="1969"/>
      <c r="AG55" s="1992">
        <v>0</v>
      </c>
      <c r="AH55" s="1986"/>
      <c r="AI55" s="2600"/>
      <c r="AJ55" s="1987">
        <f t="shared" si="2"/>
        <v>0</v>
      </c>
      <c r="AK55" s="2597"/>
      <c r="AL55" s="1642">
        <f>ROUND(IF(AG55=0,0,AJ55/ABS(AG55)),3)</f>
        <v>0</v>
      </c>
    </row>
    <row r="56" spans="1:41">
      <c r="A56" s="2456"/>
      <c r="B56" s="2476" t="s">
        <v>989</v>
      </c>
      <c r="C56" s="2495"/>
      <c r="D56" s="2456"/>
      <c r="E56" s="1992">
        <f t="shared" si="5"/>
        <v>0</v>
      </c>
      <c r="F56" s="1991"/>
      <c r="G56" s="1992"/>
      <c r="H56" s="1992"/>
      <c r="I56" s="1992"/>
      <c r="J56" s="1992"/>
      <c r="K56" s="1992"/>
      <c r="L56" s="2596"/>
      <c r="M56" s="1992"/>
      <c r="N56" s="2596"/>
      <c r="O56" s="1992"/>
      <c r="P56" s="2596"/>
      <c r="Q56" s="1781"/>
      <c r="R56" s="2596"/>
      <c r="S56" s="1781"/>
      <c r="T56" s="2596"/>
      <c r="U56" s="1781"/>
      <c r="V56" s="2596"/>
      <c r="W56" s="1781"/>
      <c r="X56" s="2596"/>
      <c r="Y56" s="1781"/>
      <c r="Z56" s="2596"/>
      <c r="AA56" s="1781"/>
      <c r="AB56" s="1987"/>
      <c r="AC56" s="2031"/>
      <c r="AD56" s="1992">
        <v>0</v>
      </c>
      <c r="AE56" s="3188"/>
      <c r="AF56" s="1969"/>
      <c r="AG56" s="1992">
        <v>0</v>
      </c>
      <c r="AH56" s="1986"/>
      <c r="AI56" s="2600"/>
      <c r="AJ56" s="1987">
        <f>ROUND(AD56-AG56,1)</f>
        <v>0</v>
      </c>
      <c r="AK56" s="2597"/>
      <c r="AL56" s="1642">
        <f>ROUND(IF(AG56=0,0,AJ56/ABS(AG56)),3)</f>
        <v>0</v>
      </c>
    </row>
    <row r="57" spans="1:41">
      <c r="A57" s="2456"/>
      <c r="B57" s="2476" t="s">
        <v>990</v>
      </c>
      <c r="C57" s="2495"/>
      <c r="D57" s="2456"/>
      <c r="E57" s="1992">
        <f t="shared" si="5"/>
        <v>0.3</v>
      </c>
      <c r="F57" s="1991"/>
      <c r="G57" s="1992"/>
      <c r="H57" s="1992"/>
      <c r="I57" s="1992"/>
      <c r="J57" s="1992"/>
      <c r="K57" s="1992"/>
      <c r="L57" s="2596"/>
      <c r="M57" s="1992"/>
      <c r="N57" s="2596"/>
      <c r="O57" s="1992"/>
      <c r="P57" s="2596"/>
      <c r="Q57" s="1781"/>
      <c r="R57" s="2596"/>
      <c r="S57" s="1781"/>
      <c r="T57" s="2596"/>
      <c r="U57" s="1781"/>
      <c r="V57" s="2596"/>
      <c r="W57" s="1781"/>
      <c r="X57" s="2596"/>
      <c r="Y57" s="1781"/>
      <c r="Z57" s="2596"/>
      <c r="AA57" s="1781"/>
      <c r="AB57" s="1987"/>
      <c r="AC57" s="2031"/>
      <c r="AD57" s="1992">
        <v>0.3</v>
      </c>
      <c r="AE57" s="3180"/>
      <c r="AF57" s="1969"/>
      <c r="AG57" s="1992">
        <v>3.1</v>
      </c>
      <c r="AH57" s="1986"/>
      <c r="AI57" s="2600"/>
      <c r="AJ57" s="1987">
        <f t="shared" si="2"/>
        <v>-2.8</v>
      </c>
      <c r="AK57" s="2597"/>
      <c r="AL57" s="3647">
        <f>ROUND(IF(AG57=0,1,AJ57/ABS(AG57)),3)</f>
        <v>-0.90300000000000002</v>
      </c>
    </row>
    <row r="58" spans="1:41">
      <c r="A58" s="2456"/>
      <c r="B58" s="2476" t="s">
        <v>992</v>
      </c>
      <c r="C58" s="2495"/>
      <c r="D58" s="2456"/>
      <c r="E58" s="1992">
        <f t="shared" si="5"/>
        <v>2.4</v>
      </c>
      <c r="F58" s="1991"/>
      <c r="G58" s="1992"/>
      <c r="H58" s="1992"/>
      <c r="I58" s="1992"/>
      <c r="J58" s="1992"/>
      <c r="K58" s="1992"/>
      <c r="L58" s="2596"/>
      <c r="M58" s="1992"/>
      <c r="N58" s="2596"/>
      <c r="O58" s="1992"/>
      <c r="P58" s="2596"/>
      <c r="Q58" s="1781"/>
      <c r="R58" s="2596"/>
      <c r="S58" s="1781"/>
      <c r="T58" s="2596"/>
      <c r="U58" s="1781"/>
      <c r="V58" s="2596"/>
      <c r="W58" s="1781"/>
      <c r="X58" s="2596"/>
      <c r="Y58" s="1781"/>
      <c r="Z58" s="2596"/>
      <c r="AA58" s="1781"/>
      <c r="AB58" s="1987"/>
      <c r="AC58" s="2031"/>
      <c r="AD58" s="1798">
        <v>2.4</v>
      </c>
      <c r="AE58" s="3180"/>
      <c r="AF58" s="1969"/>
      <c r="AG58" s="1798">
        <v>0.3</v>
      </c>
      <c r="AH58" s="1986"/>
      <c r="AI58" s="2600"/>
      <c r="AJ58" s="1987">
        <f t="shared" si="2"/>
        <v>2.1</v>
      </c>
      <c r="AK58" s="2597"/>
      <c r="AL58" s="2188">
        <f>ROUND(IF(AG58=0,0,AJ58/ABS(AG58)),3)</f>
        <v>7</v>
      </c>
    </row>
    <row r="59" spans="1:41">
      <c r="A59" s="2456"/>
      <c r="B59" s="2476" t="s">
        <v>964</v>
      </c>
      <c r="C59" s="2495"/>
      <c r="D59" s="2456"/>
      <c r="E59" s="1992">
        <f t="shared" si="5"/>
        <v>0.1</v>
      </c>
      <c r="F59" s="1991"/>
      <c r="G59" s="1992"/>
      <c r="H59" s="1992"/>
      <c r="I59" s="1992"/>
      <c r="J59" s="1992"/>
      <c r="K59" s="1992"/>
      <c r="L59" s="2596"/>
      <c r="M59" s="1992"/>
      <c r="N59" s="2596"/>
      <c r="O59" s="1992"/>
      <c r="P59" s="2596"/>
      <c r="Q59" s="1781"/>
      <c r="R59" s="2596"/>
      <c r="S59" s="1781"/>
      <c r="T59" s="2596"/>
      <c r="U59" s="1781"/>
      <c r="V59" s="2596"/>
      <c r="W59" s="1781"/>
      <c r="X59" s="2596"/>
      <c r="Y59" s="1781"/>
      <c r="Z59" s="2596"/>
      <c r="AA59" s="1781"/>
      <c r="AB59" s="1987"/>
      <c r="AC59" s="2031"/>
      <c r="AD59" s="1798">
        <v>0.1</v>
      </c>
      <c r="AE59" s="3180"/>
      <c r="AF59" s="1969"/>
      <c r="AG59" s="1798">
        <v>0</v>
      </c>
      <c r="AH59" s="1986"/>
      <c r="AI59" s="2600"/>
      <c r="AJ59" s="1987">
        <f t="shared" si="2"/>
        <v>0.1</v>
      </c>
      <c r="AK59" s="2597"/>
      <c r="AL59" s="1786">
        <f>ROUND(IF(AG59=0,1,AJ59/ABS(AG59)),3)</f>
        <v>1</v>
      </c>
      <c r="AN59" s="2608"/>
    </row>
    <row r="60" spans="1:41" s="2611" customFormat="1" collapsed="1">
      <c r="A60" s="2543"/>
      <c r="B60" s="2464" t="s">
        <v>1096</v>
      </c>
      <c r="C60" s="2543"/>
      <c r="D60" s="2543"/>
      <c r="E60" s="1453">
        <f>ROUND(SUM(E34:E59),1)</f>
        <v>181.3</v>
      </c>
      <c r="F60" s="2042"/>
      <c r="G60" s="1453">
        <f>ROUND(SUM(G34:G59),1)</f>
        <v>0</v>
      </c>
      <c r="H60" s="2609"/>
      <c r="I60" s="1453">
        <f>ROUND(SUM(I34:I59),1)</f>
        <v>0</v>
      </c>
      <c r="J60" s="2042"/>
      <c r="K60" s="1453">
        <f>ROUND(SUM(K34:K59),1)</f>
        <v>0</v>
      </c>
      <c r="L60" s="1992"/>
      <c r="M60" s="1453">
        <f>ROUND(SUM(M34:M59),1)</f>
        <v>0</v>
      </c>
      <c r="N60" s="1992"/>
      <c r="O60" s="1453">
        <f>ROUND(SUM(O34:O59),1)</f>
        <v>0</v>
      </c>
      <c r="P60" s="1987"/>
      <c r="Q60" s="1453">
        <f>ROUND(SUM(Q34:Q59),1)</f>
        <v>0</v>
      </c>
      <c r="R60" s="1987"/>
      <c r="S60" s="1453">
        <f>ROUND(SUM(S34:S59),1)</f>
        <v>0</v>
      </c>
      <c r="T60" s="1987"/>
      <c r="U60" s="1453">
        <f>ROUND(SUM(U34:U59),1)</f>
        <v>0</v>
      </c>
      <c r="V60" s="1987"/>
      <c r="W60" s="1453">
        <f>ROUND(SUM(W34:W59),1)</f>
        <v>0</v>
      </c>
      <c r="X60" s="1987"/>
      <c r="Y60" s="1453">
        <f>ROUND(SUM(Y34:Y59),1)</f>
        <v>0</v>
      </c>
      <c r="Z60" s="1987"/>
      <c r="AA60" s="1453">
        <f>ROUND(SUM(AA34:AA59),1)</f>
        <v>0</v>
      </c>
      <c r="AB60" s="2042"/>
      <c r="AC60" s="2544"/>
      <c r="AD60" s="1453">
        <f>ROUND(SUM(AD34:AD59),1)</f>
        <v>181.3</v>
      </c>
      <c r="AE60" s="3189"/>
      <c r="AF60" s="1455"/>
      <c r="AG60" s="1453">
        <f>ROUND(SUM(AG34:AG59),1)</f>
        <v>1190.5999999999999</v>
      </c>
      <c r="AH60" s="2602"/>
      <c r="AI60" s="2600"/>
      <c r="AJ60" s="1453">
        <f>ROUND(SUM(AJ34:AJ59),1)</f>
        <v>-1009.3</v>
      </c>
      <c r="AK60" s="2610"/>
      <c r="AL60" s="2189">
        <f>ROUND(IF(AG60=0,0,AJ60/ABS(AG60)),3)</f>
        <v>-0.84799999999999998</v>
      </c>
    </row>
    <row r="61" spans="1:41" s="2611" customFormat="1">
      <c r="A61" s="2543"/>
      <c r="B61" s="2464"/>
      <c r="C61" s="2543"/>
      <c r="D61" s="2543"/>
      <c r="E61" s="1455"/>
      <c r="F61" s="2042"/>
      <c r="G61" s="1455"/>
      <c r="H61" s="2609"/>
      <c r="I61" s="1455"/>
      <c r="J61" s="2042"/>
      <c r="K61" s="1455"/>
      <c r="L61" s="2596"/>
      <c r="M61" s="1781"/>
      <c r="N61" s="2596"/>
      <c r="O61" s="1781"/>
      <c r="P61" s="2596"/>
      <c r="Q61" s="1781"/>
      <c r="R61" s="2596"/>
      <c r="S61" s="1781"/>
      <c r="T61" s="2596"/>
      <c r="U61" s="1781"/>
      <c r="V61" s="2596"/>
      <c r="W61" s="1781"/>
      <c r="X61" s="2596"/>
      <c r="Y61" s="1781"/>
      <c r="Z61" s="2596"/>
      <c r="AA61" s="1781"/>
      <c r="AB61" s="2042"/>
      <c r="AC61" s="2544"/>
      <c r="AD61" s="1455"/>
      <c r="AE61" s="3190"/>
      <c r="AF61" s="1455"/>
      <c r="AG61" s="1455"/>
      <c r="AH61" s="2602"/>
      <c r="AI61" s="2600"/>
      <c r="AJ61" s="1455"/>
      <c r="AK61" s="2610"/>
      <c r="AL61" s="2612"/>
    </row>
    <row r="62" spans="1:41">
      <c r="A62" s="2456"/>
      <c r="B62" s="2456" t="s">
        <v>148</v>
      </c>
      <c r="C62" s="2456"/>
      <c r="D62" s="2456"/>
      <c r="E62" s="1992">
        <f t="shared" ref="E62" si="6">$AD62</f>
        <v>0</v>
      </c>
      <c r="F62" s="1992"/>
      <c r="G62" s="1992"/>
      <c r="H62" s="1992"/>
      <c r="I62" s="1992"/>
      <c r="J62" s="1992"/>
      <c r="K62" s="1992"/>
      <c r="L62" s="2596"/>
      <c r="M62" s="1992"/>
      <c r="N62" s="2596"/>
      <c r="O62" s="1992"/>
      <c r="P62" s="2596"/>
      <c r="Q62" s="1992"/>
      <c r="R62" s="2596"/>
      <c r="S62" s="1781"/>
      <c r="T62" s="2596"/>
      <c r="U62" s="1781"/>
      <c r="V62" s="2596"/>
      <c r="W62" s="1781"/>
      <c r="X62" s="2596"/>
      <c r="Y62" s="1781"/>
      <c r="Z62" s="2596"/>
      <c r="AA62" s="1781"/>
      <c r="AB62" s="1987"/>
      <c r="AC62" s="2031"/>
      <c r="AD62" s="1992">
        <v>0</v>
      </c>
      <c r="AE62" s="3177"/>
      <c r="AF62" s="1969"/>
      <c r="AG62" s="1992">
        <v>0</v>
      </c>
      <c r="AH62" s="1986"/>
      <c r="AI62" s="2590"/>
      <c r="AJ62" s="1987">
        <f>ROUND(AD62-AG62,1)</f>
        <v>0</v>
      </c>
      <c r="AK62" s="2597"/>
      <c r="AL62" s="1642">
        <f>ROUND(IF(AG62=0,0,AJ62/ABS(AG62)),3)</f>
        <v>0</v>
      </c>
    </row>
    <row r="63" spans="1:41">
      <c r="A63" s="2456"/>
      <c r="B63" s="2456"/>
      <c r="C63" s="2456"/>
      <c r="D63" s="2456"/>
      <c r="E63" s="2484"/>
      <c r="F63" s="1992"/>
      <c r="G63" s="2484"/>
      <c r="H63" s="1992"/>
      <c r="I63" s="2484"/>
      <c r="J63" s="1992"/>
      <c r="K63" s="2613"/>
      <c r="L63" s="2596"/>
      <c r="M63" s="2614"/>
      <c r="N63" s="2615"/>
      <c r="O63" s="2614"/>
      <c r="P63" s="2615"/>
      <c r="Q63" s="2614"/>
      <c r="R63" s="2615"/>
      <c r="S63" s="2614"/>
      <c r="T63" s="2615"/>
      <c r="U63" s="2614"/>
      <c r="V63" s="2615"/>
      <c r="W63" s="2614"/>
      <c r="X63" s="2615"/>
      <c r="Y63" s="2614"/>
      <c r="Z63" s="2615"/>
      <c r="AA63" s="2614"/>
      <c r="AB63" s="1987"/>
      <c r="AC63" s="2031"/>
      <c r="AD63" s="2043"/>
      <c r="AE63" s="3177"/>
      <c r="AF63" s="1969"/>
      <c r="AG63" s="2043"/>
      <c r="AH63" s="1969"/>
      <c r="AI63" s="2590"/>
      <c r="AJ63" s="2043"/>
      <c r="AK63" s="2588"/>
      <c r="AL63" s="2162"/>
    </row>
    <row r="64" spans="1:41">
      <c r="A64" s="2456"/>
      <c r="B64" s="2543" t="s">
        <v>195</v>
      </c>
      <c r="C64" s="2456"/>
      <c r="D64" s="2456"/>
      <c r="E64" s="2046">
        <f>ROUND(SUM(E32+E60+E62),1)</f>
        <v>266.10000000000002</v>
      </c>
      <c r="F64" s="2042"/>
      <c r="G64" s="2616">
        <f>ROUND(SUM(G32+G60+G62),1)</f>
        <v>0</v>
      </c>
      <c r="H64" s="2042"/>
      <c r="I64" s="2616">
        <f>ROUND(SUM(I32+I60+I62),1)</f>
        <v>0</v>
      </c>
      <c r="J64" s="2042"/>
      <c r="K64" s="2616">
        <f>ROUND(SUM(K32+K60+K62),1)</f>
        <v>0</v>
      </c>
      <c r="L64" s="2042"/>
      <c r="M64" s="1552">
        <f>ROUND(SUM(M32+M60+M62),1)</f>
        <v>0</v>
      </c>
      <c r="N64" s="1455"/>
      <c r="O64" s="1552">
        <f>ROUND(SUM(O32+O60+O62),1)</f>
        <v>0</v>
      </c>
      <c r="P64" s="1455"/>
      <c r="Q64" s="1552">
        <f>ROUND(SUM(Q32+Q60+Q62),1)</f>
        <v>0</v>
      </c>
      <c r="R64" s="1455"/>
      <c r="S64" s="1552">
        <f>ROUND(SUM(S32+S60+S62),1)</f>
        <v>0</v>
      </c>
      <c r="T64" s="1455"/>
      <c r="U64" s="1552">
        <f>ROUND(SUM(U32+U60+U62),1)</f>
        <v>0</v>
      </c>
      <c r="V64" s="1455"/>
      <c r="W64" s="1552">
        <f>ROUND(SUM(W32+W60+W62),1)</f>
        <v>0</v>
      </c>
      <c r="X64" s="1455"/>
      <c r="Y64" s="1552">
        <f>ROUND(SUM(Y32+Y60+Y62),1)</f>
        <v>0</v>
      </c>
      <c r="Z64" s="1455"/>
      <c r="AA64" s="1552">
        <f>ROUND(SUM(AA32+AA60+AA62),1)</f>
        <v>0</v>
      </c>
      <c r="AB64" s="2042"/>
      <c r="AC64" s="2544"/>
      <c r="AD64" s="1552">
        <f>ROUND(SUM(AD32+AD60+AD62),1)</f>
        <v>266.10000000000002</v>
      </c>
      <c r="AE64" s="3189"/>
      <c r="AF64" s="1455"/>
      <c r="AG64" s="1552">
        <f>ROUND(SUM(AG32+AG60+AG62),1)</f>
        <v>1264.7</v>
      </c>
      <c r="AH64" s="2602"/>
      <c r="AI64" s="2590"/>
      <c r="AJ64" s="1552">
        <f>ROUND(SUM(AJ32+AJ60+AJ62),1)</f>
        <v>-998.6</v>
      </c>
      <c r="AK64" s="2617"/>
      <c r="AL64" s="2618">
        <f>ROUND(IF(AG64=0,0,AJ64/ABS(AG64)),3)</f>
        <v>-0.79</v>
      </c>
      <c r="AM64" s="2611"/>
      <c r="AO64" s="2635"/>
    </row>
    <row r="65" spans="1:41">
      <c r="A65" s="2456"/>
      <c r="B65" s="2456"/>
      <c r="C65" s="2456"/>
      <c r="D65" s="2456"/>
      <c r="E65" s="2033"/>
      <c r="F65" s="1992"/>
      <c r="G65" s="2484"/>
      <c r="H65" s="1992"/>
      <c r="I65" s="2484"/>
      <c r="J65" s="1992"/>
      <c r="K65" s="2484"/>
      <c r="L65" s="2596"/>
      <c r="M65" s="1781"/>
      <c r="N65" s="2596"/>
      <c r="O65" s="1781"/>
      <c r="P65" s="2596"/>
      <c r="Q65" s="1781"/>
      <c r="R65" s="2596"/>
      <c r="S65" s="1781"/>
      <c r="T65" s="2596"/>
      <c r="U65" s="1781"/>
      <c r="V65" s="2596"/>
      <c r="W65" s="1781"/>
      <c r="X65" s="2596"/>
      <c r="Y65" s="1781"/>
      <c r="Z65" s="2596"/>
      <c r="AA65" s="1781"/>
      <c r="AB65" s="2174"/>
      <c r="AC65" s="1969"/>
      <c r="AD65" s="2043"/>
      <c r="AE65" s="2174"/>
      <c r="AF65" s="1969"/>
      <c r="AG65" s="2043"/>
      <c r="AH65" s="1969"/>
      <c r="AI65" s="2590"/>
      <c r="AJ65" s="2591"/>
      <c r="AK65" s="2588"/>
      <c r="AL65" s="1790"/>
    </row>
    <row r="66" spans="1:41">
      <c r="A66" s="2456"/>
      <c r="B66" s="2543" t="s">
        <v>22</v>
      </c>
      <c r="C66" s="2456"/>
      <c r="D66" s="2456"/>
      <c r="E66" s="1992"/>
      <c r="F66" s="1992"/>
      <c r="G66" s="1992"/>
      <c r="H66" s="1992"/>
      <c r="I66" s="1992"/>
      <c r="J66" s="1992"/>
      <c r="K66" s="1992"/>
      <c r="L66" s="2596"/>
      <c r="M66" s="1781"/>
      <c r="N66" s="2596"/>
      <c r="O66" s="1781"/>
      <c r="P66" s="2596"/>
      <c r="Q66" s="1781"/>
      <c r="R66" s="2596"/>
      <c r="S66" s="1781"/>
      <c r="T66" s="2596"/>
      <c r="U66" s="1781"/>
      <c r="V66" s="2596"/>
      <c r="W66" s="1781"/>
      <c r="X66" s="2596"/>
      <c r="Y66" s="1781"/>
      <c r="Z66" s="2596"/>
      <c r="AA66" s="1781"/>
      <c r="AB66" s="2174"/>
      <c r="AC66" s="1969"/>
      <c r="AD66" s="1987"/>
      <c r="AE66" s="2174"/>
      <c r="AF66" s="1969"/>
      <c r="AG66" s="1987"/>
      <c r="AH66" s="1987"/>
      <c r="AI66" s="2590"/>
      <c r="AJ66" s="2591"/>
      <c r="AK66" s="2588"/>
      <c r="AL66" s="1790"/>
    </row>
    <row r="67" spans="1:41">
      <c r="A67" s="2456"/>
      <c r="B67" s="2456" t="s">
        <v>150</v>
      </c>
      <c r="C67" s="2456"/>
      <c r="D67" s="2456"/>
      <c r="E67" s="1992"/>
      <c r="F67" s="1992"/>
      <c r="G67" s="1992"/>
      <c r="H67" s="1992"/>
      <c r="I67" s="1992"/>
      <c r="J67" s="1992"/>
      <c r="K67" s="1992"/>
      <c r="L67" s="2596"/>
      <c r="M67" s="1781"/>
      <c r="N67" s="2596"/>
      <c r="O67" s="1781"/>
      <c r="P67" s="2596"/>
      <c r="Q67" s="1781"/>
      <c r="R67" s="2596"/>
      <c r="S67" s="1781"/>
      <c r="T67" s="2596"/>
      <c r="U67" s="1781"/>
      <c r="V67" s="2596"/>
      <c r="W67" s="1781"/>
      <c r="X67" s="2596"/>
      <c r="Y67" s="1781"/>
      <c r="Z67" s="2596"/>
      <c r="AA67" s="1781"/>
      <c r="AB67" s="1987"/>
      <c r="AC67" s="2031"/>
      <c r="AD67" s="1987"/>
      <c r="AE67" s="3177"/>
      <c r="AF67" s="1969"/>
      <c r="AG67" s="1987"/>
      <c r="AH67" s="1987"/>
      <c r="AI67" s="2590"/>
      <c r="AJ67" s="2591"/>
      <c r="AK67" s="2588"/>
      <c r="AL67" s="1790"/>
    </row>
    <row r="68" spans="1:41">
      <c r="A68" s="2456"/>
      <c r="B68" s="2456" t="s">
        <v>24</v>
      </c>
      <c r="C68" s="2456"/>
      <c r="D68" s="2456"/>
      <c r="E68" s="1992">
        <f t="shared" ref="E68:E70" si="7">$AD68</f>
        <v>13.5</v>
      </c>
      <c r="F68" s="1992"/>
      <c r="G68" s="1992"/>
      <c r="H68" s="1992"/>
      <c r="I68" s="1992"/>
      <c r="J68" s="1992"/>
      <c r="K68" s="1992"/>
      <c r="L68" s="2596"/>
      <c r="M68" s="1992"/>
      <c r="N68" s="2596"/>
      <c r="O68" s="1992"/>
      <c r="P68" s="2596"/>
      <c r="Q68" s="1992"/>
      <c r="R68" s="2596"/>
      <c r="S68" s="1781"/>
      <c r="T68" s="2596"/>
      <c r="U68" s="1781"/>
      <c r="V68" s="2596"/>
      <c r="W68" s="1781"/>
      <c r="X68" s="2596"/>
      <c r="Y68" s="1781"/>
      <c r="Z68" s="2596"/>
      <c r="AA68" s="1781"/>
      <c r="AB68" s="1987"/>
      <c r="AC68" s="2031"/>
      <c r="AD68" s="1992">
        <v>13.5</v>
      </c>
      <c r="AE68" s="3177"/>
      <c r="AF68" s="1969"/>
      <c r="AG68" s="1992">
        <v>12</v>
      </c>
      <c r="AH68" s="1986"/>
      <c r="AI68" s="2600"/>
      <c r="AJ68" s="1987">
        <f t="shared" ref="AJ68:AJ77" si="8">ROUND(AD68-AG68,1)</f>
        <v>1.5</v>
      </c>
      <c r="AK68" s="2597"/>
      <c r="AL68" s="3647">
        <f>ROUND(IF(AG68=0,1,AJ68/ABS(AG68)),3)</f>
        <v>0.125</v>
      </c>
    </row>
    <row r="69" spans="1:41">
      <c r="A69" s="2456"/>
      <c r="B69" s="2456" t="s">
        <v>25</v>
      </c>
      <c r="C69" s="2456"/>
      <c r="D69" s="2456"/>
      <c r="E69" s="1992">
        <f t="shared" si="7"/>
        <v>29</v>
      </c>
      <c r="F69" s="1992"/>
      <c r="G69" s="1992"/>
      <c r="H69" s="1992"/>
      <c r="I69" s="1992"/>
      <c r="J69" s="1992"/>
      <c r="K69" s="1992"/>
      <c r="L69" s="2596"/>
      <c r="M69" s="1992"/>
      <c r="N69" s="2596"/>
      <c r="O69" s="1992"/>
      <c r="P69" s="2596"/>
      <c r="Q69" s="1781"/>
      <c r="R69" s="2596"/>
      <c r="S69" s="1781"/>
      <c r="T69" s="2596"/>
      <c r="U69" s="1781"/>
      <c r="V69" s="2596"/>
      <c r="W69" s="1781"/>
      <c r="X69" s="2596"/>
      <c r="Y69" s="1781"/>
      <c r="Z69" s="2596"/>
      <c r="AA69" s="1781"/>
      <c r="AB69" s="1987"/>
      <c r="AC69" s="2031"/>
      <c r="AD69" s="1992">
        <v>29</v>
      </c>
      <c r="AE69" s="3177"/>
      <c r="AF69" s="1969"/>
      <c r="AG69" s="1992">
        <v>4.4000000000000004</v>
      </c>
      <c r="AH69" s="1986"/>
      <c r="AI69" s="2600"/>
      <c r="AJ69" s="1987">
        <f t="shared" si="8"/>
        <v>24.6</v>
      </c>
      <c r="AK69" s="2597"/>
      <c r="AL69" s="1642">
        <f>ROUND(IF(AG69=0,0,AJ69/ABS(AG69)),3)</f>
        <v>5.5910000000000002</v>
      </c>
    </row>
    <row r="70" spans="1:41">
      <c r="A70" s="2456"/>
      <c r="B70" s="2456" t="s">
        <v>26</v>
      </c>
      <c r="C70" s="2456"/>
      <c r="D70" s="2456"/>
      <c r="E70" s="1992">
        <f t="shared" si="7"/>
        <v>12.7</v>
      </c>
      <c r="F70" s="1992"/>
      <c r="G70" s="1992"/>
      <c r="H70" s="1992"/>
      <c r="I70" s="1992"/>
      <c r="J70" s="1992"/>
      <c r="K70" s="1992"/>
      <c r="L70" s="2596"/>
      <c r="M70" s="1992"/>
      <c r="N70" s="2596"/>
      <c r="O70" s="1992"/>
      <c r="P70" s="2596"/>
      <c r="Q70" s="1781"/>
      <c r="R70" s="2596"/>
      <c r="S70" s="1781"/>
      <c r="T70" s="2596"/>
      <c r="U70" s="1781"/>
      <c r="V70" s="2596"/>
      <c r="W70" s="1781"/>
      <c r="X70" s="2596"/>
      <c r="Y70" s="1781"/>
      <c r="Z70" s="2596"/>
      <c r="AA70" s="1781"/>
      <c r="AB70" s="1987"/>
      <c r="AC70" s="2031"/>
      <c r="AD70" s="1992">
        <v>12.7</v>
      </c>
      <c r="AE70" s="3177"/>
      <c r="AF70" s="1969"/>
      <c r="AG70" s="1992">
        <v>30.4</v>
      </c>
      <c r="AH70" s="1986"/>
      <c r="AI70" s="2600"/>
      <c r="AJ70" s="1987">
        <f t="shared" si="8"/>
        <v>-17.7</v>
      </c>
      <c r="AK70" s="2597"/>
      <c r="AL70" s="1642">
        <f>ROUND(IF(AG70=0,0,AJ70/ABS(AG70)),3)</f>
        <v>-0.58199999999999996</v>
      </c>
      <c r="AM70" s="2588"/>
    </row>
    <row r="71" spans="1:41">
      <c r="A71" s="2456"/>
      <c r="B71" s="2456" t="s">
        <v>27</v>
      </c>
      <c r="C71" s="2456"/>
      <c r="D71" s="2456"/>
      <c r="E71" s="1992" t="s">
        <v>14</v>
      </c>
      <c r="F71" s="1992"/>
      <c r="G71" s="1992"/>
      <c r="H71" s="1992"/>
      <c r="I71" s="1992"/>
      <c r="J71" s="1992"/>
      <c r="K71" s="1992"/>
      <c r="L71" s="2596"/>
      <c r="M71" s="1992"/>
      <c r="N71" s="2596"/>
      <c r="O71" s="1992"/>
      <c r="P71" s="2596"/>
      <c r="Q71" s="1781"/>
      <c r="R71" s="2596"/>
      <c r="S71" s="1781"/>
      <c r="T71" s="2596"/>
      <c r="U71" s="1781"/>
      <c r="V71" s="2596"/>
      <c r="W71" s="1781"/>
      <c r="X71" s="2596"/>
      <c r="Y71" s="1781"/>
      <c r="Z71" s="2596"/>
      <c r="AA71" s="1781"/>
      <c r="AB71" s="1987"/>
      <c r="AC71" s="2031"/>
      <c r="AD71" s="1992"/>
      <c r="AE71" s="3177"/>
      <c r="AF71" s="1969"/>
      <c r="AG71" s="1992"/>
      <c r="AH71" s="1987"/>
      <c r="AI71" s="2590"/>
      <c r="AJ71" s="1992"/>
      <c r="AK71" s="2597"/>
      <c r="AL71" s="1790"/>
      <c r="AM71" s="2588"/>
    </row>
    <row r="72" spans="1:41">
      <c r="A72" s="2456"/>
      <c r="B72" s="2456" t="s">
        <v>28</v>
      </c>
      <c r="C72" s="2543"/>
      <c r="D72" s="2456"/>
      <c r="E72" s="1992">
        <f t="shared" ref="E72:E77" si="9">$AD72</f>
        <v>0</v>
      </c>
      <c r="F72" s="1992"/>
      <c r="G72" s="1992"/>
      <c r="H72" s="1992"/>
      <c r="I72" s="1992"/>
      <c r="J72" s="1992"/>
      <c r="K72" s="1992"/>
      <c r="L72" s="2596"/>
      <c r="M72" s="1992"/>
      <c r="N72" s="2596"/>
      <c r="O72" s="1992"/>
      <c r="P72" s="2596"/>
      <c r="Q72" s="1781"/>
      <c r="R72" s="2596"/>
      <c r="S72" s="1781"/>
      <c r="T72" s="2596"/>
      <c r="U72" s="1781"/>
      <c r="V72" s="2596"/>
      <c r="W72" s="1781"/>
      <c r="X72" s="2596"/>
      <c r="Y72" s="1781"/>
      <c r="Z72" s="2596"/>
      <c r="AA72" s="1781"/>
      <c r="AB72" s="1987"/>
      <c r="AC72" s="2031"/>
      <c r="AD72" s="1992">
        <v>0</v>
      </c>
      <c r="AE72" s="3177"/>
      <c r="AF72" s="1969"/>
      <c r="AG72" s="1992">
        <v>0</v>
      </c>
      <c r="AH72" s="1987"/>
      <c r="AI72" s="2590"/>
      <c r="AJ72" s="1987">
        <f t="shared" si="8"/>
        <v>0</v>
      </c>
      <c r="AK72" s="2588"/>
      <c r="AL72" s="2188">
        <f>ROUND(IF(AG72=0,0,AJ72/ABS(AG72)),3)</f>
        <v>0</v>
      </c>
      <c r="AM72" s="2588"/>
    </row>
    <row r="73" spans="1:41">
      <c r="A73" s="2456"/>
      <c r="B73" s="2456" t="s">
        <v>29</v>
      </c>
      <c r="C73" s="2456"/>
      <c r="D73" s="2456"/>
      <c r="E73" s="1992">
        <f t="shared" si="9"/>
        <v>45.1</v>
      </c>
      <c r="F73" s="1992"/>
      <c r="G73" s="1992"/>
      <c r="H73" s="1992"/>
      <c r="I73" s="1992"/>
      <c r="J73" s="1992"/>
      <c r="K73" s="1992"/>
      <c r="L73" s="2596"/>
      <c r="M73" s="1992"/>
      <c r="N73" s="2596"/>
      <c r="O73" s="1992"/>
      <c r="P73" s="2596"/>
      <c r="Q73" s="1781"/>
      <c r="R73" s="2596"/>
      <c r="S73" s="1781"/>
      <c r="T73" s="2596"/>
      <c r="U73" s="1781"/>
      <c r="V73" s="2596"/>
      <c r="W73" s="1781"/>
      <c r="X73" s="2596"/>
      <c r="Y73" s="1781"/>
      <c r="Z73" s="2596"/>
      <c r="AA73" s="1781"/>
      <c r="AB73" s="1987"/>
      <c r="AC73" s="2031"/>
      <c r="AD73" s="1992">
        <v>45.1</v>
      </c>
      <c r="AE73" s="3177"/>
      <c r="AF73" s="1969"/>
      <c r="AG73" s="1992">
        <v>29</v>
      </c>
      <c r="AH73" s="1986"/>
      <c r="AI73" s="2600"/>
      <c r="AJ73" s="1987">
        <f t="shared" si="8"/>
        <v>16.100000000000001</v>
      </c>
      <c r="AK73" s="2597"/>
      <c r="AL73" s="1642">
        <f>ROUND(IF(AG73=0,0,AJ73/ABS(AG73)),3)</f>
        <v>0.55500000000000005</v>
      </c>
    </row>
    <row r="74" spans="1:41">
      <c r="A74" s="2456"/>
      <c r="B74" s="2456" t="s">
        <v>30</v>
      </c>
      <c r="C74" s="2456"/>
      <c r="D74" s="2456"/>
      <c r="E74" s="1992">
        <f t="shared" si="9"/>
        <v>0.4</v>
      </c>
      <c r="F74" s="1992"/>
      <c r="G74" s="1992"/>
      <c r="H74" s="1992"/>
      <c r="I74" s="1992"/>
      <c r="J74" s="1992"/>
      <c r="K74" s="1992"/>
      <c r="L74" s="2596"/>
      <c r="M74" s="1992"/>
      <c r="N74" s="2596"/>
      <c r="O74" s="1992"/>
      <c r="P74" s="2596"/>
      <c r="Q74" s="1781"/>
      <c r="R74" s="2596"/>
      <c r="S74" s="1781"/>
      <c r="T74" s="2596"/>
      <c r="U74" s="1781"/>
      <c r="V74" s="2596"/>
      <c r="W74" s="1781"/>
      <c r="X74" s="2596"/>
      <c r="Y74" s="1781"/>
      <c r="Z74" s="2596"/>
      <c r="AA74" s="1781"/>
      <c r="AB74" s="1987"/>
      <c r="AC74" s="2031"/>
      <c r="AD74" s="1992">
        <v>0.4</v>
      </c>
      <c r="AE74" s="3177"/>
      <c r="AF74" s="1969"/>
      <c r="AG74" s="1992">
        <v>0</v>
      </c>
      <c r="AH74" s="1986"/>
      <c r="AI74" s="2600"/>
      <c r="AJ74" s="1987">
        <f t="shared" si="8"/>
        <v>0.4</v>
      </c>
      <c r="AK74" s="2597"/>
      <c r="AL74" s="1721">
        <f>ROUND(IF(AG74=0,1,AJ74/ABS(AG74)),3)</f>
        <v>1</v>
      </c>
      <c r="AM74" s="2588"/>
    </row>
    <row r="75" spans="1:41">
      <c r="A75" s="2456"/>
      <c r="B75" s="2456" t="s">
        <v>31</v>
      </c>
      <c r="C75" s="2456"/>
      <c r="D75" s="2456"/>
      <c r="E75" s="1992">
        <f t="shared" si="9"/>
        <v>28.2</v>
      </c>
      <c r="F75" s="1992"/>
      <c r="G75" s="1992"/>
      <c r="H75" s="1992"/>
      <c r="I75" s="1992"/>
      <c r="J75" s="1992"/>
      <c r="K75" s="1992"/>
      <c r="L75" s="2596"/>
      <c r="M75" s="1992"/>
      <c r="N75" s="2596"/>
      <c r="O75" s="1992"/>
      <c r="P75" s="2596"/>
      <c r="Q75" s="1781"/>
      <c r="R75" s="2596"/>
      <c r="S75" s="1781"/>
      <c r="T75" s="2596"/>
      <c r="U75" s="1781"/>
      <c r="V75" s="2596"/>
      <c r="W75" s="1781"/>
      <c r="X75" s="2596"/>
      <c r="Y75" s="1781"/>
      <c r="Z75" s="2596"/>
      <c r="AA75" s="1781"/>
      <c r="AB75" s="1987"/>
      <c r="AC75" s="2031"/>
      <c r="AD75" s="1992">
        <v>28.2</v>
      </c>
      <c r="AE75" s="3177"/>
      <c r="AF75" s="1969"/>
      <c r="AG75" s="1992">
        <v>0</v>
      </c>
      <c r="AH75" s="1987"/>
      <c r="AI75" s="2590"/>
      <c r="AJ75" s="1987">
        <f t="shared" si="8"/>
        <v>28.2</v>
      </c>
      <c r="AK75" s="2597"/>
      <c r="AL75" s="1786">
        <f>ROUND(IF(AG75=0,1,AJ75/ABS(AG75)),3)</f>
        <v>1</v>
      </c>
      <c r="AM75" s="2588"/>
    </row>
    <row r="76" spans="1:41">
      <c r="A76" s="2456"/>
      <c r="B76" s="2456" t="s">
        <v>32</v>
      </c>
      <c r="C76" s="2543"/>
      <c r="D76" s="2456"/>
      <c r="E76" s="1992">
        <f t="shared" si="9"/>
        <v>21.200000000000003</v>
      </c>
      <c r="F76" s="1992"/>
      <c r="G76" s="1992"/>
      <c r="H76" s="1992"/>
      <c r="I76" s="1992"/>
      <c r="J76" s="1992"/>
      <c r="K76" s="1992"/>
      <c r="L76" s="2596"/>
      <c r="M76" s="1992"/>
      <c r="N76" s="2596"/>
      <c r="O76" s="1992"/>
      <c r="P76" s="2596"/>
      <c r="Q76" s="1781"/>
      <c r="R76" s="2596"/>
      <c r="S76" s="1781"/>
      <c r="T76" s="2596"/>
      <c r="U76" s="1781"/>
      <c r="V76" s="2596"/>
      <c r="W76" s="1781"/>
      <c r="X76" s="2596"/>
      <c r="Y76" s="1781"/>
      <c r="Z76" s="2596"/>
      <c r="AA76" s="1781"/>
      <c r="AB76" s="1987"/>
      <c r="AC76" s="2031"/>
      <c r="AD76" s="1992">
        <v>21.200000000000003</v>
      </c>
      <c r="AE76" s="3177"/>
      <c r="AF76" s="1969"/>
      <c r="AG76" s="1992">
        <v>43.2</v>
      </c>
      <c r="AH76" s="1987"/>
      <c r="AI76" s="2590"/>
      <c r="AJ76" s="1987">
        <f t="shared" si="8"/>
        <v>-22</v>
      </c>
      <c r="AK76" s="2588"/>
      <c r="AL76" s="1786">
        <f>ROUND(IF(AG76=0,0,AJ76/ABS(AG76)),3)</f>
        <v>-0.50900000000000001</v>
      </c>
      <c r="AM76" s="2588"/>
    </row>
    <row r="77" spans="1:41">
      <c r="A77" s="2456"/>
      <c r="B77" s="2456" t="s">
        <v>33</v>
      </c>
      <c r="C77" s="2456"/>
      <c r="D77" s="2456"/>
      <c r="E77" s="1992">
        <f t="shared" si="9"/>
        <v>175.8</v>
      </c>
      <c r="F77" s="1992"/>
      <c r="G77" s="1992"/>
      <c r="H77" s="1992"/>
      <c r="I77" s="1992"/>
      <c r="J77" s="1992"/>
      <c r="K77" s="1992"/>
      <c r="L77" s="2596"/>
      <c r="M77" s="1992"/>
      <c r="N77" s="2596"/>
      <c r="O77" s="1992"/>
      <c r="P77" s="2596"/>
      <c r="Q77" s="1781"/>
      <c r="R77" s="2596"/>
      <c r="S77" s="1781"/>
      <c r="T77" s="2596"/>
      <c r="U77" s="1781"/>
      <c r="V77" s="2596"/>
      <c r="W77" s="1781"/>
      <c r="X77" s="2596"/>
      <c r="Y77" s="1781"/>
      <c r="Z77" s="2596"/>
      <c r="AA77" s="1781"/>
      <c r="AB77" s="1987"/>
      <c r="AC77" s="2031"/>
      <c r="AD77" s="1992">
        <v>175.8</v>
      </c>
      <c r="AE77" s="3177"/>
      <c r="AF77" s="1969"/>
      <c r="AG77" s="1992">
        <v>2.4</v>
      </c>
      <c r="AH77" s="1969"/>
      <c r="AI77" s="2590"/>
      <c r="AJ77" s="1987">
        <f t="shared" si="8"/>
        <v>173.4</v>
      </c>
      <c r="AK77" s="2597"/>
      <c r="AL77" s="2188">
        <f>ROUND(IF(AG77=0,0,AJ77/ABS(AG77)),3)</f>
        <v>72.25</v>
      </c>
      <c r="AM77" s="2588"/>
    </row>
    <row r="78" spans="1:41">
      <c r="A78" s="2456"/>
      <c r="B78" s="2543" t="s">
        <v>196</v>
      </c>
      <c r="C78" s="2456"/>
      <c r="D78" s="2456"/>
      <c r="E78" s="2163">
        <f>ROUND(SUM(E68:E77),1)</f>
        <v>325.89999999999998</v>
      </c>
      <c r="F78" s="2042"/>
      <c r="G78" s="2163">
        <f>ROUND(SUM(G68:G77),1)</f>
        <v>0</v>
      </c>
      <c r="H78" s="2042"/>
      <c r="I78" s="2163">
        <f>ROUND(SUM(I68:I77),1)</f>
        <v>0</v>
      </c>
      <c r="J78" s="1455"/>
      <c r="K78" s="2163">
        <f>ROUND(SUM(K68:K77),1)</f>
        <v>0</v>
      </c>
      <c r="L78" s="2042"/>
      <c r="M78" s="2163">
        <f>ROUND(SUM(M68:M77),1)</f>
        <v>0</v>
      </c>
      <c r="N78" s="1455"/>
      <c r="O78" s="2163">
        <f>ROUND(SUM(O68:O77),1)</f>
        <v>0</v>
      </c>
      <c r="P78" s="2042"/>
      <c r="Q78" s="2163">
        <f>ROUND(SUM(Q68:Q77),1)</f>
        <v>0</v>
      </c>
      <c r="R78" s="2042"/>
      <c r="S78" s="2163">
        <f>ROUND(SUM(S68:S77),1)</f>
        <v>0</v>
      </c>
      <c r="T78" s="2042"/>
      <c r="U78" s="2163">
        <f>ROUND(SUM(U68:U77),1)</f>
        <v>0</v>
      </c>
      <c r="V78" s="2042"/>
      <c r="W78" s="2163">
        <f>ROUND(SUM(W68:W77),1)</f>
        <v>0</v>
      </c>
      <c r="X78" s="2042"/>
      <c r="Y78" s="2163">
        <f>ROUND(SUM(Y68:Y77),1)</f>
        <v>0</v>
      </c>
      <c r="Z78" s="2042"/>
      <c r="AA78" s="2163">
        <f>ROUND(SUM(AA68:AA77),1)</f>
        <v>0</v>
      </c>
      <c r="AB78" s="2042"/>
      <c r="AC78" s="2544"/>
      <c r="AD78" s="2163">
        <f>ROUND(SUM(AD68:AD77),1)</f>
        <v>325.89999999999998</v>
      </c>
      <c r="AE78" s="3189"/>
      <c r="AF78" s="1455"/>
      <c r="AG78" s="2163">
        <f>ROUND(SUM(AG68:AG77),1)</f>
        <v>121.4</v>
      </c>
      <c r="AH78" s="1455"/>
      <c r="AI78" s="2590"/>
      <c r="AJ78" s="2163">
        <f>ROUND(SUM(AJ68:AJ77),1)</f>
        <v>204.5</v>
      </c>
      <c r="AK78" s="2619"/>
      <c r="AL78" s="2189">
        <f>ROUND(IF(AG78=0,0,AJ78/ABS(AG78)),3)</f>
        <v>1.6850000000000001</v>
      </c>
      <c r="AO78" s="2635"/>
    </row>
    <row r="79" spans="1:41">
      <c r="A79" s="2456"/>
      <c r="B79" s="2456" t="s">
        <v>197</v>
      </c>
      <c r="C79" s="2456"/>
      <c r="D79" s="2456"/>
      <c r="E79" s="1992"/>
      <c r="F79" s="1992"/>
      <c r="G79" s="1992"/>
      <c r="H79" s="1992"/>
      <c r="I79" s="1992"/>
      <c r="J79" s="1992"/>
      <c r="K79" s="1992"/>
      <c r="L79" s="1987"/>
      <c r="M79" s="1987"/>
      <c r="N79" s="1987"/>
      <c r="O79" s="1987"/>
      <c r="P79" s="1987"/>
      <c r="Q79" s="1987"/>
      <c r="R79" s="1987"/>
      <c r="S79" s="1987"/>
      <c r="T79" s="1987"/>
      <c r="U79" s="1987"/>
      <c r="V79" s="1987"/>
      <c r="W79" s="1987"/>
      <c r="X79" s="1987"/>
      <c r="Y79" s="1987"/>
      <c r="Z79" s="1987"/>
      <c r="AA79" s="1987"/>
      <c r="AB79" s="1987"/>
      <c r="AC79" s="2031"/>
      <c r="AD79" s="1987"/>
      <c r="AE79" s="3177"/>
      <c r="AF79" s="1969"/>
      <c r="AG79" s="1987"/>
      <c r="AH79" s="1987"/>
      <c r="AI79" s="2590"/>
      <c r="AJ79" s="2591"/>
      <c r="AK79" s="2588"/>
      <c r="AL79" s="1790"/>
    </row>
    <row r="80" spans="1:41">
      <c r="A80" s="2456"/>
      <c r="B80" s="2456" t="s">
        <v>198</v>
      </c>
      <c r="C80" s="2456"/>
      <c r="D80" s="2456"/>
      <c r="E80" s="1992">
        <f t="shared" ref="E80:E83" si="10">$AD80</f>
        <v>0</v>
      </c>
      <c r="F80" s="1992"/>
      <c r="G80" s="1992"/>
      <c r="H80" s="1992"/>
      <c r="I80" s="1992"/>
      <c r="J80" s="1992"/>
      <c r="K80" s="1992"/>
      <c r="L80" s="2596"/>
      <c r="M80" s="1992"/>
      <c r="N80" s="2596"/>
      <c r="O80" s="1992"/>
      <c r="P80" s="2596"/>
      <c r="Q80" s="1781"/>
      <c r="R80" s="2596"/>
      <c r="S80" s="1781"/>
      <c r="T80" s="2596"/>
      <c r="U80" s="1781"/>
      <c r="V80" s="2596"/>
      <c r="W80" s="1781"/>
      <c r="X80" s="2596"/>
      <c r="Y80" s="1781"/>
      <c r="Z80" s="2596"/>
      <c r="AA80" s="1781"/>
      <c r="AB80" s="1987"/>
      <c r="AC80" s="2031"/>
      <c r="AD80" s="1992">
        <v>0</v>
      </c>
      <c r="AE80" s="3177"/>
      <c r="AF80" s="1969"/>
      <c r="AG80" s="1992">
        <v>0</v>
      </c>
      <c r="AH80" s="2620"/>
      <c r="AI80" s="2621"/>
      <c r="AJ80" s="1987">
        <f>ROUND(AD80-AG80,1)</f>
        <v>0</v>
      </c>
      <c r="AK80" s="2588"/>
      <c r="AL80" s="1642">
        <f>ROUND(IF(AG80=0,0,AJ80/ABS(AG80)),3)</f>
        <v>0</v>
      </c>
    </row>
    <row r="81" spans="1:41">
      <c r="A81" s="2456"/>
      <c r="B81" s="2456" t="s">
        <v>199</v>
      </c>
      <c r="C81" s="2456"/>
      <c r="D81" s="2456"/>
      <c r="E81" s="1992">
        <f t="shared" si="10"/>
        <v>0</v>
      </c>
      <c r="F81" s="1992"/>
      <c r="G81" s="1992"/>
      <c r="H81" s="1992"/>
      <c r="I81" s="1992"/>
      <c r="J81" s="1992"/>
      <c r="K81" s="1992"/>
      <c r="L81" s="2596"/>
      <c r="M81" s="1992"/>
      <c r="N81" s="2596"/>
      <c r="O81" s="1992"/>
      <c r="P81" s="2596"/>
      <c r="Q81" s="1781"/>
      <c r="R81" s="2596"/>
      <c r="S81" s="1781"/>
      <c r="T81" s="2596"/>
      <c r="U81" s="1781"/>
      <c r="V81" s="2596"/>
      <c r="W81" s="1781"/>
      <c r="X81" s="2596"/>
      <c r="Y81" s="1781"/>
      <c r="Z81" s="2596"/>
      <c r="AA81" s="1781"/>
      <c r="AB81" s="1987"/>
      <c r="AC81" s="2031"/>
      <c r="AD81" s="3843">
        <v>0</v>
      </c>
      <c r="AE81" s="3177"/>
      <c r="AF81" s="1969"/>
      <c r="AG81" s="1992">
        <v>0</v>
      </c>
      <c r="AH81" s="2620"/>
      <c r="AI81" s="2621"/>
      <c r="AJ81" s="1987">
        <f>ROUND(AD81-AG81,1)</f>
        <v>0</v>
      </c>
      <c r="AK81" s="2588"/>
      <c r="AL81" s="1642">
        <f>ROUND(IF(AG81=0,0,AJ81/ABS(AG81)),3)</f>
        <v>0</v>
      </c>
    </row>
    <row r="82" spans="1:41">
      <c r="A82" s="2456"/>
      <c r="B82" s="2456" t="s">
        <v>200</v>
      </c>
      <c r="C82" s="2456"/>
      <c r="D82" s="2456"/>
      <c r="E82" s="1992">
        <f t="shared" si="10"/>
        <v>0</v>
      </c>
      <c r="F82" s="1992"/>
      <c r="G82" s="1992"/>
      <c r="H82" s="1992"/>
      <c r="I82" s="1992"/>
      <c r="J82" s="1992"/>
      <c r="K82" s="1992"/>
      <c r="L82" s="2596"/>
      <c r="M82" s="1992"/>
      <c r="N82" s="2596"/>
      <c r="O82" s="1992"/>
      <c r="P82" s="2596"/>
      <c r="Q82" s="1781"/>
      <c r="R82" s="2596"/>
      <c r="S82" s="1781"/>
      <c r="T82" s="2596"/>
      <c r="U82" s="1781"/>
      <c r="V82" s="2596"/>
      <c r="W82" s="1781"/>
      <c r="X82" s="2596"/>
      <c r="Y82" s="1781"/>
      <c r="Z82" s="2596"/>
      <c r="AA82" s="1781"/>
      <c r="AB82" s="2622"/>
      <c r="AC82" s="2623"/>
      <c r="AD82" s="1992">
        <v>0</v>
      </c>
      <c r="AE82" s="3177"/>
      <c r="AF82" s="1969"/>
      <c r="AG82" s="1992">
        <v>0</v>
      </c>
      <c r="AH82" s="2620"/>
      <c r="AI82" s="2621"/>
      <c r="AJ82" s="1987">
        <f>ROUND(AD82-AG82,1)</f>
        <v>0</v>
      </c>
      <c r="AK82" s="2588"/>
      <c r="AL82" s="1642">
        <f>ROUND(IF(AG82=0,0,AJ82/ABS(AG82)),3)</f>
        <v>0</v>
      </c>
    </row>
    <row r="83" spans="1:41">
      <c r="A83" s="2456"/>
      <c r="B83" s="3649" t="s">
        <v>171</v>
      </c>
      <c r="C83" s="2456"/>
      <c r="D83" s="2456"/>
      <c r="E83" s="1992">
        <f t="shared" si="10"/>
        <v>351.1</v>
      </c>
      <c r="F83" s="1992"/>
      <c r="G83" s="1992"/>
      <c r="H83" s="1992"/>
      <c r="I83" s="1992"/>
      <c r="J83" s="1992"/>
      <c r="K83" s="1992"/>
      <c r="L83" s="2596"/>
      <c r="M83" s="1992"/>
      <c r="N83" s="2596"/>
      <c r="O83" s="1992"/>
      <c r="P83" s="2596"/>
      <c r="Q83" s="1781"/>
      <c r="R83" s="2596"/>
      <c r="S83" s="1781"/>
      <c r="T83" s="2596"/>
      <c r="U83" s="1781"/>
      <c r="V83" s="2596"/>
      <c r="W83" s="1781"/>
      <c r="X83" s="2596"/>
      <c r="Y83" s="1781"/>
      <c r="Z83" s="2596"/>
      <c r="AA83" s="1781"/>
      <c r="AB83" s="1987"/>
      <c r="AC83" s="2031"/>
      <c r="AD83" s="3191">
        <v>351.1</v>
      </c>
      <c r="AE83" s="3177"/>
      <c r="AF83" s="1969"/>
      <c r="AG83" s="3191">
        <v>452.1</v>
      </c>
      <c r="AH83" s="2624"/>
      <c r="AI83" s="2600"/>
      <c r="AJ83" s="2625">
        <f>ROUND(AD83-AG83,1)</f>
        <v>-101</v>
      </c>
      <c r="AK83" s="2588"/>
      <c r="AL83" s="2598">
        <f>ROUND(IF(AG83=0,0,AJ83/ABS(AG83)),3)</f>
        <v>-0.223</v>
      </c>
    </row>
    <row r="84" spans="1:41">
      <c r="A84" s="2456"/>
      <c r="B84" s="2456"/>
      <c r="C84" s="2456"/>
      <c r="D84" s="2456"/>
      <c r="E84" s="2484"/>
      <c r="F84" s="1992"/>
      <c r="G84" s="2484"/>
      <c r="H84" s="1992"/>
      <c r="I84" s="2484"/>
      <c r="J84" s="1992"/>
      <c r="K84" s="2484"/>
      <c r="L84" s="1987"/>
      <c r="M84" s="2043"/>
      <c r="N84" s="1987"/>
      <c r="O84" s="2043"/>
      <c r="P84" s="1987"/>
      <c r="Q84" s="2043"/>
      <c r="R84" s="1987"/>
      <c r="S84" s="2043"/>
      <c r="T84" s="1987"/>
      <c r="U84" s="2043"/>
      <c r="V84" s="1987"/>
      <c r="W84" s="2043"/>
      <c r="X84" s="1987"/>
      <c r="Y84" s="2043"/>
      <c r="Z84" s="1987"/>
      <c r="AA84" s="2043"/>
      <c r="AB84" s="1987"/>
      <c r="AC84" s="2031"/>
      <c r="AD84" s="2591"/>
      <c r="AE84" s="3177"/>
      <c r="AF84" s="1969"/>
      <c r="AG84" s="2591"/>
      <c r="AH84" s="2591"/>
      <c r="AI84" s="2626"/>
      <c r="AJ84" s="2591"/>
      <c r="AK84" s="2588"/>
      <c r="AL84" s="1790"/>
    </row>
    <row r="85" spans="1:41">
      <c r="A85" s="2456"/>
      <c r="B85" s="2543" t="s">
        <v>201</v>
      </c>
      <c r="C85" s="2456"/>
      <c r="D85" s="2456"/>
      <c r="E85" s="2042">
        <f>ROUND(SUM(E78:E83),1)</f>
        <v>677</v>
      </c>
      <c r="F85" s="2042"/>
      <c r="G85" s="2042">
        <f>ROUND(SUM(G78:G83),1)</f>
        <v>0</v>
      </c>
      <c r="H85" s="2042"/>
      <c r="I85" s="2042">
        <f>ROUND(SUM(I78:I83),1)</f>
        <v>0</v>
      </c>
      <c r="J85" s="2042"/>
      <c r="K85" s="2042">
        <f>ROUND(SUM(K78:K83),1)</f>
        <v>0</v>
      </c>
      <c r="L85" s="2042"/>
      <c r="M85" s="2042">
        <f>ROUND(SUM(M78:M83),1)</f>
        <v>0</v>
      </c>
      <c r="N85" s="2042"/>
      <c r="O85" s="2042">
        <f>ROUND(SUM(O78:O83),1)</f>
        <v>0</v>
      </c>
      <c r="P85" s="2042"/>
      <c r="Q85" s="2042">
        <f>ROUND(SUM(Q78:Q83),1)</f>
        <v>0</v>
      </c>
      <c r="R85" s="2042"/>
      <c r="S85" s="2042">
        <f>ROUND(SUM(S78:S83),1)</f>
        <v>0</v>
      </c>
      <c r="T85" s="2042"/>
      <c r="U85" s="2042">
        <f>ROUND(SUM(U78:U83),1)</f>
        <v>0</v>
      </c>
      <c r="V85" s="2042"/>
      <c r="W85" s="2042">
        <f>ROUND(SUM(W78:W83),1)</f>
        <v>0</v>
      </c>
      <c r="X85" s="2042"/>
      <c r="Y85" s="2042">
        <f>ROUND(SUM(Y78:Y83),1)</f>
        <v>0</v>
      </c>
      <c r="Z85" s="2042"/>
      <c r="AA85" s="2042">
        <f>ROUND(SUM(AA78:AA83),1)</f>
        <v>0</v>
      </c>
      <c r="AB85" s="2042"/>
      <c r="AC85" s="2544"/>
      <c r="AD85" s="2042">
        <f>ROUND(SUM(AD78:AD83),1)</f>
        <v>677</v>
      </c>
      <c r="AE85" s="3189"/>
      <c r="AF85" s="1455"/>
      <c r="AG85" s="2042">
        <f>ROUND(SUM(AG78:AG83),1)</f>
        <v>573.5</v>
      </c>
      <c r="AH85" s="1455"/>
      <c r="AI85" s="2590"/>
      <c r="AJ85" s="2046">
        <f>ROUND(AD85-AG85,1)</f>
        <v>103.5</v>
      </c>
      <c r="AK85" s="2619"/>
      <c r="AL85" s="2618">
        <f>ROUND(IF(AG85=0,0,AJ85/ABS(AG85)),3)</f>
        <v>0.18</v>
      </c>
      <c r="AM85" s="2611"/>
      <c r="AN85" s="2611"/>
      <c r="AO85" s="2611"/>
    </row>
    <row r="86" spans="1:41">
      <c r="A86" s="2456"/>
      <c r="B86" s="2456"/>
      <c r="C86" s="2456"/>
      <c r="D86" s="2456"/>
      <c r="E86" s="2484"/>
      <c r="F86" s="1992"/>
      <c r="G86" s="2484"/>
      <c r="H86" s="1992"/>
      <c r="I86" s="2484"/>
      <c r="J86" s="1992"/>
      <c r="K86" s="2484"/>
      <c r="L86" s="1987"/>
      <c r="M86" s="2043"/>
      <c r="N86" s="1987"/>
      <c r="O86" s="2043"/>
      <c r="P86" s="1987"/>
      <c r="Q86" s="2043"/>
      <c r="R86" s="1987"/>
      <c r="S86" s="2043"/>
      <c r="T86" s="1987"/>
      <c r="U86" s="2043"/>
      <c r="V86" s="1987"/>
      <c r="W86" s="2043"/>
      <c r="X86" s="1987"/>
      <c r="Y86" s="2043"/>
      <c r="Z86" s="1987"/>
      <c r="AA86" s="2043"/>
      <c r="AB86" s="1987"/>
      <c r="AC86" s="2031"/>
      <c r="AD86" s="2043"/>
      <c r="AE86" s="3177"/>
      <c r="AF86" s="1969"/>
      <c r="AG86" s="2043"/>
      <c r="AH86" s="1969"/>
      <c r="AI86" s="2590"/>
      <c r="AJ86" s="2591"/>
      <c r="AK86" s="2588"/>
      <c r="AL86" s="1790"/>
    </row>
    <row r="87" spans="1:41">
      <c r="A87" s="2456"/>
      <c r="B87" s="2543" t="s">
        <v>202</v>
      </c>
      <c r="C87" s="2456"/>
      <c r="D87" s="2456"/>
      <c r="E87" s="1992"/>
      <c r="F87" s="1992"/>
      <c r="G87" s="1992"/>
      <c r="H87" s="1992"/>
      <c r="I87" s="1992"/>
      <c r="J87" s="1992"/>
      <c r="K87" s="1992"/>
      <c r="L87" s="1987"/>
      <c r="M87" s="1987"/>
      <c r="N87" s="1987"/>
      <c r="O87" s="1987"/>
      <c r="P87" s="1987"/>
      <c r="Q87" s="1987"/>
      <c r="R87" s="1987"/>
      <c r="S87" s="1987"/>
      <c r="T87" s="1987"/>
      <c r="U87" s="1987"/>
      <c r="V87" s="1987"/>
      <c r="W87" s="1987"/>
      <c r="X87" s="1987"/>
      <c r="Y87" s="1987"/>
      <c r="Z87" s="1987"/>
      <c r="AA87" s="1987"/>
      <c r="AB87" s="1987"/>
      <c r="AC87" s="2031"/>
      <c r="AD87" s="2591"/>
      <c r="AE87" s="3177"/>
      <c r="AF87" s="1969"/>
      <c r="AG87" s="2591"/>
      <c r="AH87" s="2591"/>
      <c r="AI87" s="2626"/>
      <c r="AJ87" s="2591"/>
      <c r="AK87" s="2588"/>
      <c r="AL87" s="1790"/>
    </row>
    <row r="88" spans="1:41">
      <c r="A88" s="2456"/>
      <c r="B88" s="2543" t="s">
        <v>203</v>
      </c>
      <c r="C88" s="2456"/>
      <c r="D88" s="2456"/>
      <c r="E88" s="2042">
        <f>ROUND(SUM(E64-E85),1)</f>
        <v>-410.9</v>
      </c>
      <c r="F88" s="2042"/>
      <c r="G88" s="2042">
        <f>ROUND(SUM(G64-G85),1)</f>
        <v>0</v>
      </c>
      <c r="H88" s="2042"/>
      <c r="I88" s="2042">
        <f>ROUND(SUM(I64-I85),1)</f>
        <v>0</v>
      </c>
      <c r="J88" s="2042"/>
      <c r="K88" s="2042">
        <f>ROUND(SUM(K64-K85),1)</f>
        <v>0</v>
      </c>
      <c r="L88" s="2042"/>
      <c r="M88" s="2042">
        <f>ROUND(SUM(M64-M85),1)</f>
        <v>0</v>
      </c>
      <c r="N88" s="2042"/>
      <c r="O88" s="2042">
        <f>ROUND(SUM(O64-O85),1)</f>
        <v>0</v>
      </c>
      <c r="P88" s="2042"/>
      <c r="Q88" s="2042">
        <f>ROUND(SUM(Q64-Q85),1)</f>
        <v>0</v>
      </c>
      <c r="R88" s="2042"/>
      <c r="S88" s="2042">
        <f>ROUND(SUM(S64-S85),1)</f>
        <v>0</v>
      </c>
      <c r="T88" s="2042"/>
      <c r="U88" s="2042">
        <f>ROUND(SUM(U64-U85),1)</f>
        <v>0</v>
      </c>
      <c r="V88" s="2042"/>
      <c r="W88" s="2042">
        <f>ROUND(SUM(W64-W85),1)</f>
        <v>0</v>
      </c>
      <c r="X88" s="2042"/>
      <c r="Y88" s="2042">
        <f>ROUND(SUM(Y64-Y85),1)</f>
        <v>0</v>
      </c>
      <c r="Z88" s="2042"/>
      <c r="AA88" s="2042">
        <f>ROUND(SUM(AA64-AA85),1)</f>
        <v>0</v>
      </c>
      <c r="AB88" s="2042"/>
      <c r="AC88" s="2544"/>
      <c r="AD88" s="2042">
        <f>ROUND(SUM(AD64-AD85),1)</f>
        <v>-410.9</v>
      </c>
      <c r="AE88" s="3189"/>
      <c r="AF88" s="1455"/>
      <c r="AG88" s="2042">
        <f>ROUND(SUM(AG64-AG85),1)</f>
        <v>691.2</v>
      </c>
      <c r="AH88" s="1455"/>
      <c r="AI88" s="2590"/>
      <c r="AJ88" s="2046">
        <f>ROUND(AD88-AG88,1)</f>
        <v>-1102.0999999999999</v>
      </c>
      <c r="AK88" s="2619"/>
      <c r="AL88" s="3650">
        <f>ROUND(IF(AG88=0,0,AJ88/ABS(AG88)),3)</f>
        <v>-1.5940000000000001</v>
      </c>
      <c r="AM88" s="2611"/>
      <c r="AN88" s="3651"/>
    </row>
    <row r="89" spans="1:41">
      <c r="A89" s="2456"/>
      <c r="B89" s="2456"/>
      <c r="C89" s="2456"/>
      <c r="D89" s="2456"/>
      <c r="E89" s="2484"/>
      <c r="F89" s="1992"/>
      <c r="G89" s="2484"/>
      <c r="H89" s="1992"/>
      <c r="I89" s="2484"/>
      <c r="J89" s="1992"/>
      <c r="K89" s="2484"/>
      <c r="L89" s="1987"/>
      <c r="M89" s="2043"/>
      <c r="N89" s="1987"/>
      <c r="O89" s="2043"/>
      <c r="P89" s="1987"/>
      <c r="Q89" s="2043"/>
      <c r="R89" s="1987"/>
      <c r="S89" s="2043"/>
      <c r="T89" s="1987"/>
      <c r="U89" s="2043"/>
      <c r="V89" s="1987"/>
      <c r="W89" s="2043"/>
      <c r="X89" s="1987"/>
      <c r="Y89" s="2043"/>
      <c r="Z89" s="1987"/>
      <c r="AA89" s="2043"/>
      <c r="AB89" s="1987"/>
      <c r="AC89" s="2031"/>
      <c r="AD89" s="2043"/>
      <c r="AE89" s="3177"/>
      <c r="AF89" s="1969"/>
      <c r="AG89" s="2043"/>
      <c r="AH89" s="1969"/>
      <c r="AI89" s="2590"/>
      <c r="AJ89" s="2591"/>
      <c r="AK89" s="2588"/>
      <c r="AL89" s="1790"/>
    </row>
    <row r="90" spans="1:41">
      <c r="A90" s="2456"/>
      <c r="B90" s="2543" t="s">
        <v>204</v>
      </c>
      <c r="C90" s="2456"/>
      <c r="D90" s="2456"/>
      <c r="E90" s="1992"/>
      <c r="F90" s="1992"/>
      <c r="G90" s="1992"/>
      <c r="H90" s="1992"/>
      <c r="I90" s="1992"/>
      <c r="J90" s="1992"/>
      <c r="K90" s="1992"/>
      <c r="L90" s="1987"/>
      <c r="M90" s="1987"/>
      <c r="N90" s="1987"/>
      <c r="O90" s="1987"/>
      <c r="P90" s="1987"/>
      <c r="Q90" s="1987"/>
      <c r="R90" s="1987"/>
      <c r="S90" s="1987"/>
      <c r="T90" s="1987"/>
      <c r="U90" s="1987"/>
      <c r="V90" s="1987"/>
      <c r="W90" s="1987"/>
      <c r="X90" s="1987"/>
      <c r="Y90" s="1987"/>
      <c r="Z90" s="1987"/>
      <c r="AA90" s="1987"/>
      <c r="AB90" s="1987"/>
      <c r="AC90" s="2031"/>
      <c r="AD90" s="2620"/>
      <c r="AE90" s="3177"/>
      <c r="AF90" s="1969"/>
      <c r="AG90" s="2620"/>
      <c r="AH90" s="2620"/>
      <c r="AI90" s="2621"/>
      <c r="AJ90" s="2591"/>
      <c r="AK90" s="2588"/>
      <c r="AL90" s="1790"/>
    </row>
    <row r="91" spans="1:41">
      <c r="A91" s="2456"/>
      <c r="B91" s="2495" t="s">
        <v>1386</v>
      </c>
      <c r="C91" s="2456"/>
      <c r="D91" s="2456"/>
      <c r="E91" s="1992">
        <f t="shared" ref="E91:E93" si="11">$AD91</f>
        <v>0</v>
      </c>
      <c r="F91" s="1992"/>
      <c r="G91" s="1992"/>
      <c r="H91" s="1992"/>
      <c r="I91" s="1992"/>
      <c r="J91" s="1992"/>
      <c r="K91" s="1992"/>
      <c r="L91" s="2596"/>
      <c r="M91" s="1992"/>
      <c r="N91" s="2596"/>
      <c r="O91" s="1992"/>
      <c r="P91" s="2596"/>
      <c r="Q91" s="1781"/>
      <c r="R91" s="2596"/>
      <c r="S91" s="1781"/>
      <c r="T91" s="2596"/>
      <c r="U91" s="1781"/>
      <c r="V91" s="2596"/>
      <c r="W91" s="1781"/>
      <c r="X91" s="2596"/>
      <c r="Y91" s="1781"/>
      <c r="Z91" s="2596"/>
      <c r="AA91" s="1781"/>
      <c r="AB91" s="1987"/>
      <c r="AC91" s="2031"/>
      <c r="AD91" s="1992">
        <v>0</v>
      </c>
      <c r="AE91" s="3177"/>
      <c r="AF91" s="1969"/>
      <c r="AG91" s="1992">
        <v>0</v>
      </c>
      <c r="AH91" s="2620"/>
      <c r="AI91" s="2621"/>
      <c r="AJ91" s="1987">
        <f>ROUND(AD91-AG91,1)</f>
        <v>0</v>
      </c>
      <c r="AK91" s="2597"/>
      <c r="AL91" s="1716">
        <f>ROUND(IF(AG91=0,0,AJ91/ABS(AG91)),3)</f>
        <v>0</v>
      </c>
    </row>
    <row r="92" spans="1:41">
      <c r="A92" s="2456"/>
      <c r="B92" s="3649" t="s">
        <v>172</v>
      </c>
      <c r="C92" s="2456"/>
      <c r="D92" s="2456"/>
      <c r="E92" s="1992">
        <f t="shared" si="11"/>
        <v>488.9</v>
      </c>
      <c r="F92" s="1992"/>
      <c r="G92" s="1992"/>
      <c r="H92" s="1992"/>
      <c r="I92" s="1992"/>
      <c r="J92" s="1992"/>
      <c r="K92" s="1992"/>
      <c r="L92" s="2596"/>
      <c r="M92" s="1992"/>
      <c r="N92" s="2596"/>
      <c r="O92" s="1992"/>
      <c r="P92" s="2596"/>
      <c r="Q92" s="1781"/>
      <c r="R92" s="2596"/>
      <c r="S92" s="1781"/>
      <c r="T92" s="2596"/>
      <c r="U92" s="1781"/>
      <c r="V92" s="2596"/>
      <c r="W92" s="1781"/>
      <c r="X92" s="2596"/>
      <c r="Y92" s="1781"/>
      <c r="Z92" s="2596"/>
      <c r="AA92" s="1781"/>
      <c r="AB92" s="1987"/>
      <c r="AC92" s="2031"/>
      <c r="AD92" s="1992">
        <v>488.9</v>
      </c>
      <c r="AE92" s="3177"/>
      <c r="AF92" s="1969"/>
      <c r="AG92" s="1992">
        <v>-805.1</v>
      </c>
      <c r="AH92" s="1986"/>
      <c r="AI92" s="2600"/>
      <c r="AJ92" s="1987">
        <f>ROUND(AD92-AG92,1)</f>
        <v>1294</v>
      </c>
      <c r="AK92" s="2588"/>
      <c r="AL92" s="1642">
        <f>ROUND(IF(AG92=0,0,AJ92/ABS(AG92)),3)</f>
        <v>1.607</v>
      </c>
      <c r="AM92" s="2588"/>
    </row>
    <row r="93" spans="1:41">
      <c r="A93" s="2456"/>
      <c r="B93" s="3649" t="s">
        <v>205</v>
      </c>
      <c r="C93" s="2456"/>
      <c r="D93" s="2456"/>
      <c r="E93" s="1992">
        <f t="shared" si="11"/>
        <v>-8.4</v>
      </c>
      <c r="F93" s="1992"/>
      <c r="G93" s="1992"/>
      <c r="H93" s="1992"/>
      <c r="I93" s="1992"/>
      <c r="J93" s="1992"/>
      <c r="K93" s="1992"/>
      <c r="L93" s="2596"/>
      <c r="M93" s="1992"/>
      <c r="N93" s="2596"/>
      <c r="O93" s="1992"/>
      <c r="P93" s="2596"/>
      <c r="Q93" s="1781"/>
      <c r="R93" s="2596"/>
      <c r="S93" s="1781"/>
      <c r="T93" s="2596"/>
      <c r="U93" s="1781"/>
      <c r="V93" s="2596"/>
      <c r="W93" s="1781"/>
      <c r="X93" s="2596"/>
      <c r="Y93" s="1781"/>
      <c r="Z93" s="2596"/>
      <c r="AA93" s="1781"/>
      <c r="AB93" s="1987"/>
      <c r="AC93" s="2031"/>
      <c r="AD93" s="3191">
        <v>-8.4</v>
      </c>
      <c r="AE93" s="3177"/>
      <c r="AF93" s="1969"/>
      <c r="AG93" s="3191">
        <v>-12.3</v>
      </c>
      <c r="AH93" s="1969"/>
      <c r="AI93" s="2590"/>
      <c r="AJ93" s="2625">
        <f>ROUND(-AD93+AG93,1)</f>
        <v>-3.9</v>
      </c>
      <c r="AK93" s="2588"/>
      <c r="AL93" s="2598">
        <f>ROUND(IF(AG93=0,0,AJ93/ABS(AG93)),3)</f>
        <v>-0.317</v>
      </c>
      <c r="AM93" s="2588"/>
    </row>
    <row r="94" spans="1:41">
      <c r="A94" s="2456"/>
      <c r="B94" s="2456"/>
      <c r="C94" s="2456"/>
      <c r="D94" s="2456"/>
      <c r="E94" s="2043"/>
      <c r="F94" s="1987"/>
      <c r="G94" s="2043"/>
      <c r="H94" s="1987"/>
      <c r="I94" s="2043"/>
      <c r="J94" s="1987"/>
      <c r="K94" s="2043"/>
      <c r="L94" s="1987"/>
      <c r="M94" s="2043"/>
      <c r="N94" s="1987"/>
      <c r="O94" s="2043"/>
      <c r="P94" s="1987"/>
      <c r="Q94" s="2043"/>
      <c r="R94" s="1987"/>
      <c r="S94" s="2043"/>
      <c r="T94" s="1987"/>
      <c r="U94" s="2043"/>
      <c r="V94" s="1987"/>
      <c r="W94" s="2043"/>
      <c r="X94" s="1987"/>
      <c r="Y94" s="2043"/>
      <c r="Z94" s="1987"/>
      <c r="AA94" s="2043"/>
      <c r="AB94" s="1987"/>
      <c r="AC94" s="2031"/>
      <c r="AD94" s="2591"/>
      <c r="AE94" s="3177"/>
      <c r="AF94" s="1969"/>
      <c r="AG94" s="2591"/>
      <c r="AH94" s="2591"/>
      <c r="AI94" s="2626"/>
      <c r="AJ94" s="2591"/>
      <c r="AK94" s="2588"/>
      <c r="AL94" s="1790"/>
    </row>
    <row r="95" spans="1:41">
      <c r="A95" s="2456"/>
      <c r="B95" s="2543" t="s">
        <v>1105</v>
      </c>
      <c r="C95" s="2456"/>
      <c r="D95" s="2456"/>
      <c r="E95" s="2042">
        <f>ROUND(SUM(E91:E93),1)</f>
        <v>480.5</v>
      </c>
      <c r="F95" s="2042"/>
      <c r="G95" s="2042">
        <f>ROUND(SUM(G91:G93),1)</f>
        <v>0</v>
      </c>
      <c r="H95" s="2042"/>
      <c r="I95" s="2042">
        <f>ROUND(SUM(I91:I93),1)</f>
        <v>0</v>
      </c>
      <c r="J95" s="2042"/>
      <c r="K95" s="2042">
        <f>ROUND(SUM(K91:K93),1)</f>
        <v>0</v>
      </c>
      <c r="L95" s="2042"/>
      <c r="M95" s="2042">
        <f>ROUND(SUM(M91:M93),1)</f>
        <v>0</v>
      </c>
      <c r="N95" s="2042"/>
      <c r="O95" s="2042">
        <f>ROUND(SUM(O91:O93),1)</f>
        <v>0</v>
      </c>
      <c r="P95" s="2042"/>
      <c r="Q95" s="2042">
        <f>ROUND(SUM(Q91:Q93),1)</f>
        <v>0</v>
      </c>
      <c r="R95" s="2042"/>
      <c r="S95" s="2042">
        <f>ROUND(SUM(S91:S93),1)</f>
        <v>0</v>
      </c>
      <c r="T95" s="2042"/>
      <c r="U95" s="2042">
        <f>ROUND(SUM(U91:U93),1)</f>
        <v>0</v>
      </c>
      <c r="V95" s="2042"/>
      <c r="W95" s="2042">
        <f>ROUND(SUM(W91:W93),1)</f>
        <v>0</v>
      </c>
      <c r="X95" s="2042"/>
      <c r="Y95" s="2042">
        <f>ROUND(SUM(Y91:Y93),1)</f>
        <v>0</v>
      </c>
      <c r="Z95" s="2042"/>
      <c r="AA95" s="2042">
        <f>ROUND(SUM(AA91:AA93),1)</f>
        <v>0</v>
      </c>
      <c r="AB95" s="2042"/>
      <c r="AC95" s="2544"/>
      <c r="AD95" s="1455">
        <f>ROUND(SUM(AD91:AD93),1)</f>
        <v>480.5</v>
      </c>
      <c r="AE95" s="3189"/>
      <c r="AF95" s="1455"/>
      <c r="AG95" s="1455">
        <f>ROUND(SUM(AG91:AG93),1)</f>
        <v>-817.4</v>
      </c>
      <c r="AH95" s="1455"/>
      <c r="AI95" s="2590"/>
      <c r="AJ95" s="2046">
        <f>ROUND(AD95-AG95,1)</f>
        <v>1297.9000000000001</v>
      </c>
      <c r="AK95" s="2619"/>
      <c r="AL95" s="3650">
        <f>ROUND(IF(AG95=0,0,AJ95/ABS(AG95)),3)</f>
        <v>1.5880000000000001</v>
      </c>
      <c r="AM95" s="2611"/>
      <c r="AN95" s="2611"/>
      <c r="AO95" s="3651"/>
    </row>
    <row r="96" spans="1:41">
      <c r="A96" s="2456"/>
      <c r="B96" s="2456"/>
      <c r="C96" s="2456"/>
      <c r="D96" s="2456"/>
      <c r="E96" s="2043"/>
      <c r="F96" s="1987"/>
      <c r="G96" s="2043"/>
      <c r="H96" s="1987"/>
      <c r="I96" s="2043"/>
      <c r="J96" s="1987"/>
      <c r="K96" s="2043"/>
      <c r="L96" s="1987"/>
      <c r="M96" s="2043"/>
      <c r="N96" s="1987"/>
      <c r="O96" s="2043"/>
      <c r="P96" s="1987"/>
      <c r="Q96" s="2043"/>
      <c r="R96" s="1987"/>
      <c r="S96" s="2043"/>
      <c r="T96" s="1987"/>
      <c r="U96" s="2043"/>
      <c r="V96" s="1987"/>
      <c r="W96" s="2043"/>
      <c r="X96" s="1987"/>
      <c r="Y96" s="2043"/>
      <c r="Z96" s="1987"/>
      <c r="AA96" s="2043"/>
      <c r="AB96" s="1987"/>
      <c r="AC96" s="2031"/>
      <c r="AD96" s="2043"/>
      <c r="AE96" s="3177"/>
      <c r="AF96" s="1969"/>
      <c r="AG96" s="2043"/>
      <c r="AH96" s="1969"/>
      <c r="AI96" s="2590"/>
      <c r="AJ96" s="2591"/>
      <c r="AK96" s="2588"/>
      <c r="AL96" s="1790"/>
      <c r="AO96" s="2635"/>
    </row>
    <row r="97" spans="1:41">
      <c r="A97" s="2456"/>
      <c r="B97" s="2456"/>
      <c r="C97" s="2456"/>
      <c r="D97" s="2456"/>
      <c r="E97" s="1987" t="s">
        <v>14</v>
      </c>
      <c r="F97" s="1987" t="s">
        <v>14</v>
      </c>
      <c r="G97" s="1987" t="s">
        <v>14</v>
      </c>
      <c r="H97" s="1987"/>
      <c r="I97" s="1987" t="s">
        <v>14</v>
      </c>
      <c r="J97" s="1987"/>
      <c r="K97" s="1987" t="s">
        <v>14</v>
      </c>
      <c r="L97" s="1987"/>
      <c r="M97" s="1987" t="s">
        <v>14</v>
      </c>
      <c r="N97" s="1987"/>
      <c r="O97" s="1987" t="s">
        <v>14</v>
      </c>
      <c r="P97" s="1987"/>
      <c r="Q97" s="1987" t="s">
        <v>14</v>
      </c>
      <c r="R97" s="1987"/>
      <c r="S97" s="1987" t="s">
        <v>14</v>
      </c>
      <c r="T97" s="1987"/>
      <c r="U97" s="1987" t="s">
        <v>14</v>
      </c>
      <c r="V97" s="1987"/>
      <c r="W97" s="1987" t="s">
        <v>14</v>
      </c>
      <c r="X97" s="1987"/>
      <c r="Y97" s="1987" t="s">
        <v>14</v>
      </c>
      <c r="Z97" s="1987"/>
      <c r="AA97" s="1987" t="s">
        <v>14</v>
      </c>
      <c r="AB97" s="1987"/>
      <c r="AC97" s="2031"/>
      <c r="AD97" s="1987"/>
      <c r="AE97" s="3177"/>
      <c r="AF97" s="1969"/>
      <c r="AG97" s="1987"/>
      <c r="AH97" s="1987"/>
      <c r="AI97" s="2590"/>
      <c r="AJ97" s="2591" t="s">
        <v>14</v>
      </c>
      <c r="AK97" s="2588"/>
      <c r="AL97" s="1790"/>
    </row>
    <row r="98" spans="1:41">
      <c r="A98" s="2456"/>
      <c r="B98" s="2543" t="s">
        <v>207</v>
      </c>
      <c r="C98" s="2456"/>
      <c r="D98" s="2456"/>
      <c r="E98" s="1987"/>
      <c r="F98" s="1987"/>
      <c r="G98" s="1987" t="s">
        <v>14</v>
      </c>
      <c r="H98" s="1987"/>
      <c r="I98" s="1987" t="s">
        <v>14</v>
      </c>
      <c r="J98" s="1987"/>
      <c r="K98" s="1987" t="s">
        <v>14</v>
      </c>
      <c r="L98" s="1987"/>
      <c r="M98" s="1987" t="s">
        <v>14</v>
      </c>
      <c r="N98" s="1987"/>
      <c r="O98" s="1987" t="s">
        <v>14</v>
      </c>
      <c r="P98" s="1987"/>
      <c r="Q98" s="1987" t="s">
        <v>14</v>
      </c>
      <c r="R98" s="1987"/>
      <c r="S98" s="1987" t="s">
        <v>14</v>
      </c>
      <c r="T98" s="1987"/>
      <c r="U98" s="1987" t="s">
        <v>14</v>
      </c>
      <c r="V98" s="1987"/>
      <c r="W98" s="1987" t="s">
        <v>14</v>
      </c>
      <c r="X98" s="1987"/>
      <c r="Y98" s="1987" t="s">
        <v>14</v>
      </c>
      <c r="Z98" s="1987"/>
      <c r="AA98" s="1987" t="s">
        <v>14</v>
      </c>
      <c r="AB98" s="1987"/>
      <c r="AC98" s="2031"/>
      <c r="AD98" s="1987"/>
      <c r="AE98" s="3177"/>
      <c r="AF98" s="1969"/>
      <c r="AG98" s="1987"/>
      <c r="AH98" s="1987"/>
      <c r="AI98" s="2590"/>
      <c r="AJ98" s="2591"/>
      <c r="AK98" s="2588"/>
      <c r="AL98" s="1790"/>
    </row>
    <row r="99" spans="1:41">
      <c r="A99" s="2456"/>
      <c r="B99" s="2543" t="s">
        <v>208</v>
      </c>
      <c r="C99" s="2456"/>
      <c r="D99" s="2456"/>
      <c r="E99" s="1987" t="s">
        <v>14</v>
      </c>
      <c r="F99" s="1987"/>
      <c r="G99" s="1987"/>
      <c r="H99" s="1987"/>
      <c r="I99" s="1987"/>
      <c r="J99" s="1987"/>
      <c r="K99" s="1987"/>
      <c r="L99" s="1987"/>
      <c r="M99" s="1987"/>
      <c r="N99" s="1987"/>
      <c r="O99" s="1987"/>
      <c r="P99" s="1987"/>
      <c r="Q99" s="1987"/>
      <c r="R99" s="1987"/>
      <c r="S99" s="1987"/>
      <c r="T99" s="1987"/>
      <c r="U99" s="1987"/>
      <c r="V99" s="1987"/>
      <c r="W99" s="1987"/>
      <c r="X99" s="1987"/>
      <c r="Y99" s="1987"/>
      <c r="Z99" s="1987"/>
      <c r="AA99" s="1987"/>
      <c r="AB99" s="1987"/>
      <c r="AC99" s="2031"/>
      <c r="AD99" s="2591"/>
      <c r="AE99" s="3177"/>
      <c r="AF99" s="1969"/>
      <c r="AG99" s="2591"/>
      <c r="AH99" s="2591"/>
      <c r="AI99" s="2626"/>
      <c r="AJ99" s="2591"/>
      <c r="AK99" s="2588"/>
      <c r="AL99" s="1790"/>
      <c r="AO99" s="3652"/>
    </row>
    <row r="100" spans="1:41" s="3176" customFormat="1">
      <c r="A100" s="1987"/>
      <c r="B100" s="2042" t="s">
        <v>1106</v>
      </c>
      <c r="C100" s="1987"/>
      <c r="D100" s="1987"/>
      <c r="E100" s="2627">
        <f>ROUND(SUM(E88+E95),1)</f>
        <v>69.599999999999994</v>
      </c>
      <c r="F100" s="2628"/>
      <c r="G100" s="2627">
        <f>ROUND(SUM(G88+G95),1)</f>
        <v>0</v>
      </c>
      <c r="H100" s="2628"/>
      <c r="I100" s="2627">
        <f>ROUND(SUM(I88+I95),1)</f>
        <v>0</v>
      </c>
      <c r="J100" s="2628"/>
      <c r="K100" s="2627">
        <f>ROUND(SUM(K88+K95),1)</f>
        <v>0</v>
      </c>
      <c r="L100" s="2628"/>
      <c r="M100" s="2627">
        <f>ROUND(SUM(M88+M95),1)</f>
        <v>0</v>
      </c>
      <c r="N100" s="2628"/>
      <c r="O100" s="2627">
        <f>ROUND(SUM(O88+O95),1)</f>
        <v>0</v>
      </c>
      <c r="P100" s="2628"/>
      <c r="Q100" s="2627">
        <f>ROUND(SUM(Q88+Q95),1)</f>
        <v>0</v>
      </c>
      <c r="R100" s="2628"/>
      <c r="S100" s="2627">
        <f>ROUND(SUM(S88+S95),1)</f>
        <v>0</v>
      </c>
      <c r="T100" s="2628"/>
      <c r="U100" s="2627">
        <f>ROUND(SUM(U88+U95),1)</f>
        <v>0</v>
      </c>
      <c r="V100" s="2628"/>
      <c r="W100" s="2627">
        <f>ROUND(SUM(W88+W95),1)</f>
        <v>0</v>
      </c>
      <c r="X100" s="3653"/>
      <c r="Y100" s="2627">
        <f>ROUND(SUM(Y88+Y95),1)</f>
        <v>0</v>
      </c>
      <c r="Z100" s="2628"/>
      <c r="AA100" s="2627">
        <f>ROUND(SUM(AA88+AA95),1)</f>
        <v>0</v>
      </c>
      <c r="AB100" s="2628"/>
      <c r="AC100" s="2629"/>
      <c r="AD100" s="2627">
        <f>ROUND(SUM(AD88+AD95),1)</f>
        <v>69.599999999999994</v>
      </c>
      <c r="AE100" s="3192"/>
      <c r="AF100" s="1455"/>
      <c r="AG100" s="2627">
        <f>ROUND(SUM(AG88+AG95),1)</f>
        <v>-126.2</v>
      </c>
      <c r="AH100" s="2630"/>
      <c r="AI100" s="2626"/>
      <c r="AJ100" s="2627">
        <f>ROUND(SUM(AJ88+AJ95),1)</f>
        <v>195.8</v>
      </c>
      <c r="AK100" s="2630"/>
      <c r="AL100" s="3650">
        <f>ROUND(IF(AG100=0,0,AJ100/ABS(AG100)),3)</f>
        <v>1.552</v>
      </c>
      <c r="AM100" s="3654"/>
    </row>
    <row r="101" spans="1:41">
      <c r="B101" s="3655"/>
      <c r="X101" s="3656"/>
      <c r="AC101" s="2631"/>
      <c r="AF101" s="2631"/>
      <c r="AI101" s="2632"/>
    </row>
    <row r="102" spans="1:41" ht="16" thickBot="1">
      <c r="B102" s="2543" t="s">
        <v>1104</v>
      </c>
      <c r="C102" s="3657"/>
      <c r="D102" s="3657"/>
      <c r="E102" s="2633">
        <f>ROUND(SUM(E14+E100),1)</f>
        <v>-494.1</v>
      </c>
      <c r="F102" s="2634"/>
      <c r="G102" s="2633">
        <f>ROUND(SUM(G14+G100),1)</f>
        <v>0</v>
      </c>
      <c r="I102" s="2633">
        <f>ROUND(SUM(I14+I100),1)</f>
        <v>0</v>
      </c>
      <c r="K102" s="2633">
        <f>ROUND(SUM(K14+K100),1)</f>
        <v>0</v>
      </c>
      <c r="M102" s="2633">
        <f>ROUND(SUM(M14+M100),1)</f>
        <v>0</v>
      </c>
      <c r="O102" s="2633">
        <f>ROUND(SUM(O14+O100),1)</f>
        <v>0</v>
      </c>
      <c r="Q102" s="2633">
        <f>ROUND(SUM(Q14+Q100),1)</f>
        <v>0</v>
      </c>
      <c r="S102" s="2633">
        <f>ROUND(SUM(S14+S100),1)</f>
        <v>0</v>
      </c>
      <c r="U102" s="2633">
        <f>ROUND(SUM(U14+U100),1)</f>
        <v>0</v>
      </c>
      <c r="W102" s="2633">
        <f>ROUND(SUM(W14+W100),1)</f>
        <v>0</v>
      </c>
      <c r="Y102" s="2633">
        <f>ROUND(SUM(Y14+Y100),1)</f>
        <v>0</v>
      </c>
      <c r="AA102" s="2633">
        <f>ROUND(SUM(AA14+AA100),1)</f>
        <v>0</v>
      </c>
      <c r="AC102" s="2631"/>
      <c r="AD102" s="2633">
        <f>ROUND(SUM(AD14+AD100),1)</f>
        <v>-494.1</v>
      </c>
      <c r="AF102" s="2631"/>
      <c r="AG102" s="2633">
        <f>ROUND(SUM(AG14+AG100),1)</f>
        <v>-598.4</v>
      </c>
      <c r="AI102" s="2632"/>
      <c r="AJ102" s="2633">
        <f>ROUND(SUM(AJ14+AJ100),1)</f>
        <v>104.3</v>
      </c>
      <c r="AL102" s="3658">
        <f>ROUND(IF(AG102=0,0,AJ102/ABS(AG102)),3)</f>
        <v>0.17399999999999999</v>
      </c>
    </row>
    <row r="103" spans="1:41" ht="16" thickTop="1">
      <c r="B103" s="3659"/>
      <c r="C103" s="3657"/>
      <c r="D103" s="3657"/>
      <c r="E103" s="2634"/>
      <c r="F103" s="2634"/>
      <c r="G103" s="2634"/>
      <c r="AG103" s="3446"/>
      <c r="AJ103" s="2635"/>
    </row>
    <row r="104" spans="1:41">
      <c r="B104" s="3660"/>
    </row>
    <row r="105" spans="1:41">
      <c r="B105" s="3660"/>
      <c r="AD105" s="3176"/>
    </row>
    <row r="106" spans="1:41">
      <c r="B106" s="3661"/>
    </row>
    <row r="107" spans="1:41">
      <c r="B107" s="3660"/>
    </row>
    <row r="108" spans="1:41">
      <c r="B108" s="3660"/>
    </row>
    <row r="109" spans="1:41">
      <c r="B109" s="3661"/>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2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765625" defaultRowHeight="15.5"/>
  <cols>
    <col min="1" max="1" width="2.53515625" style="1084" customWidth="1"/>
    <col min="2" max="2" width="14.07421875" style="1084" customWidth="1"/>
    <col min="3" max="3" width="26.53515625" style="1084" customWidth="1"/>
    <col min="4" max="4" width="2.07421875" style="1084" customWidth="1"/>
    <col min="5" max="5" width="11.07421875" style="1084" customWidth="1"/>
    <col min="6" max="6" width="1.765625" style="1084" customWidth="1"/>
    <col min="7" max="7" width="11" style="1084" bestFit="1" customWidth="1"/>
    <col min="8" max="8" width="1.765625" style="1084" customWidth="1"/>
    <col min="9" max="9" width="11" style="1084" bestFit="1" customWidth="1"/>
    <col min="10" max="10" width="1.765625" style="1084" customWidth="1"/>
    <col min="11" max="11" width="12.07421875" style="1084" customWidth="1"/>
    <col min="12" max="12" width="1.765625" style="1084" customWidth="1"/>
    <col min="13" max="13" width="11" style="1084" customWidth="1"/>
    <col min="14" max="14" width="1.765625" style="1084" customWidth="1"/>
    <col min="15" max="15" width="13.765625" style="1084" customWidth="1"/>
    <col min="16" max="16" width="1.765625" style="1084" customWidth="1"/>
    <col min="17" max="17" width="12.4609375" style="1084" customWidth="1"/>
    <col min="18" max="18" width="1.765625" style="1084" customWidth="1"/>
    <col min="19" max="19" width="12.53515625" style="1084" customWidth="1"/>
    <col min="20" max="20" width="1.765625" style="1084" customWidth="1"/>
    <col min="21" max="21" width="10.765625" style="1084" customWidth="1"/>
    <col min="22" max="22" width="1.765625" style="1084" customWidth="1"/>
    <col min="23" max="23" width="10.53515625" style="1084" customWidth="1"/>
    <col min="24" max="24" width="1.765625" style="1084" customWidth="1"/>
    <col min="25" max="25" width="10.765625" style="1084" customWidth="1"/>
    <col min="26" max="26" width="1.765625" style="1084" customWidth="1"/>
    <col min="27" max="27" width="11.765625" style="1084" customWidth="1"/>
    <col min="28" max="29" width="1.765625" style="1084" customWidth="1"/>
    <col min="30" max="30" width="10.53515625" style="1084" customWidth="1"/>
    <col min="31" max="32" width="1" style="1084" customWidth="1"/>
    <col min="33" max="33" width="12.765625" style="1084" customWidth="1"/>
    <col min="34" max="35" width="1" style="1084" customWidth="1"/>
    <col min="36" max="36" width="13.07421875" style="1084" bestFit="1" customWidth="1"/>
    <col min="37" max="37" width="1.07421875" style="1084" customWidth="1"/>
    <col min="38" max="38" width="11.53515625" style="1084" customWidth="1"/>
    <col min="39" max="16384" width="8.765625" style="1084"/>
  </cols>
  <sheetData>
    <row r="1" spans="1:39">
      <c r="B1" s="1493" t="s">
        <v>885</v>
      </c>
    </row>
    <row r="2" spans="1:39">
      <c r="B2" s="3674"/>
    </row>
    <row r="3" spans="1:39" ht="19.5" customHeight="1">
      <c r="A3" s="3675"/>
      <c r="B3" s="191" t="s">
        <v>0</v>
      </c>
      <c r="C3" s="1085"/>
      <c r="D3" s="1085"/>
      <c r="E3" s="1085"/>
      <c r="F3" s="1086"/>
      <c r="G3" s="1086"/>
      <c r="H3" s="1086"/>
      <c r="I3" s="1086"/>
      <c r="J3" s="1086"/>
      <c r="K3" s="1086"/>
      <c r="L3" s="1086"/>
      <c r="M3" s="1086"/>
      <c r="N3" s="1086"/>
      <c r="O3" s="1086"/>
      <c r="P3" s="1086"/>
      <c r="Q3" s="1086"/>
      <c r="R3" s="1086"/>
      <c r="S3" s="3676"/>
      <c r="T3" s="1086"/>
      <c r="U3" s="1086"/>
      <c r="V3" s="1086"/>
      <c r="W3" s="1086"/>
      <c r="X3" s="1086"/>
      <c r="Y3" s="1086"/>
      <c r="Z3" s="1086"/>
      <c r="AA3" s="1086"/>
      <c r="AB3" s="1086"/>
      <c r="AC3" s="1086"/>
      <c r="AD3" s="1086"/>
      <c r="AE3" s="1086"/>
      <c r="AF3" s="1086"/>
      <c r="AG3" s="1086"/>
      <c r="AH3" s="1086"/>
      <c r="AI3" s="1086"/>
      <c r="AL3" s="3237" t="s">
        <v>193</v>
      </c>
    </row>
    <row r="4" spans="1:39" ht="19.5" customHeight="1">
      <c r="A4" s="3675"/>
      <c r="B4" s="191" t="s">
        <v>210</v>
      </c>
      <c r="C4" s="1085"/>
      <c r="D4" s="1085"/>
      <c r="E4" s="1085"/>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E4" s="3193"/>
      <c r="AF4" s="3193"/>
    </row>
    <row r="5" spans="1:39" ht="19.5" customHeight="1">
      <c r="A5" s="3675"/>
      <c r="B5" s="3677" t="s">
        <v>147</v>
      </c>
      <c r="C5" s="1085"/>
      <c r="D5" s="1085"/>
      <c r="E5" s="1085"/>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086"/>
      <c r="AG5" s="1086"/>
      <c r="AH5" s="1086"/>
      <c r="AI5" s="1086"/>
      <c r="AL5" s="3237"/>
    </row>
    <row r="6" spans="1:39" ht="19.5" customHeight="1">
      <c r="A6" s="3675"/>
      <c r="B6" s="3677" t="str">
        <f>'Cashflow Governmental'!A6</f>
        <v xml:space="preserve">FISCAL YEAR 2021-2022   </v>
      </c>
      <c r="C6" s="3678"/>
      <c r="D6" s="1085"/>
      <c r="E6" s="1085"/>
      <c r="F6" s="1086"/>
      <c r="G6" s="1086"/>
      <c r="H6" s="1087"/>
      <c r="I6" s="1086"/>
      <c r="J6" s="1086"/>
      <c r="K6" s="1086"/>
      <c r="L6" s="1086"/>
      <c r="M6" s="1086"/>
      <c r="N6" s="1086"/>
      <c r="O6" s="1086"/>
      <c r="P6" s="1086"/>
      <c r="Q6" s="1086"/>
      <c r="R6" s="1086"/>
      <c r="S6" s="1086"/>
      <c r="T6" s="1086"/>
      <c r="U6" s="1086"/>
      <c r="V6" s="1086"/>
      <c r="W6" s="1086"/>
      <c r="X6" s="1086"/>
      <c r="Y6" s="1086"/>
      <c r="Z6" s="1086"/>
      <c r="AA6" s="1086"/>
      <c r="AB6" s="1086"/>
      <c r="AC6" s="1086"/>
      <c r="AD6" s="1086"/>
      <c r="AE6" s="1091"/>
      <c r="AF6" s="1091"/>
      <c r="AG6" s="1091"/>
      <c r="AH6" s="1091"/>
      <c r="AI6" s="1091"/>
    </row>
    <row r="7" spans="1:39" ht="19.5" customHeight="1">
      <c r="A7" s="3675"/>
      <c r="B7" s="191" t="s">
        <v>1281</v>
      </c>
      <c r="C7" s="1085"/>
      <c r="D7" s="1085"/>
      <c r="E7" s="1085"/>
      <c r="F7" s="1086"/>
      <c r="G7" s="1086"/>
      <c r="H7" s="1087"/>
      <c r="I7" s="1086"/>
      <c r="J7" s="1086"/>
      <c r="K7" s="1086"/>
      <c r="L7" s="1086"/>
      <c r="M7" s="1086"/>
      <c r="N7" s="1086"/>
      <c r="O7" s="1086"/>
      <c r="P7" s="1086"/>
      <c r="Q7" s="1086"/>
      <c r="R7" s="1086"/>
      <c r="S7" s="1086"/>
      <c r="T7" s="1086"/>
      <c r="U7" s="1086"/>
      <c r="V7" s="1086"/>
      <c r="W7" s="1086"/>
      <c r="X7" s="1086"/>
      <c r="Y7" s="1086"/>
      <c r="Z7" s="1086"/>
      <c r="AA7" s="1086"/>
      <c r="AB7" s="1086"/>
      <c r="AC7" s="1086"/>
      <c r="AD7" s="1086"/>
      <c r="AE7" s="1091"/>
      <c r="AF7" s="1091"/>
      <c r="AG7" s="1091"/>
      <c r="AH7" s="1091"/>
      <c r="AI7" s="1091"/>
    </row>
    <row r="8" spans="1:39" ht="19.5" customHeight="1">
      <c r="A8" s="3675"/>
      <c r="B8" s="3679"/>
      <c r="C8" s="1085"/>
      <c r="D8" s="1085"/>
      <c r="E8" s="1085"/>
      <c r="F8" s="1086"/>
      <c r="G8" s="1086"/>
      <c r="H8" s="1087"/>
      <c r="I8" s="1086"/>
      <c r="J8" s="1086"/>
      <c r="K8" s="1086"/>
      <c r="L8" s="1086"/>
      <c r="M8" s="1086"/>
      <c r="N8" s="1086"/>
      <c r="O8" s="1086"/>
      <c r="P8" s="1086"/>
      <c r="Q8" s="1086"/>
      <c r="R8" s="1086"/>
      <c r="S8" s="1086"/>
      <c r="T8" s="1086"/>
      <c r="U8" s="1086"/>
      <c r="V8" s="1086"/>
      <c r="W8" s="1086"/>
      <c r="X8" s="1086"/>
      <c r="Y8" s="1086"/>
      <c r="Z8" s="1086"/>
      <c r="AA8" s="1086"/>
      <c r="AB8" s="1086"/>
      <c r="AC8" s="1086"/>
      <c r="AD8" s="1086"/>
      <c r="AE8" s="1091"/>
      <c r="AF8" s="1091"/>
      <c r="AG8" s="1091"/>
      <c r="AH8" s="1091"/>
      <c r="AI8" s="1091"/>
    </row>
    <row r="9" spans="1:39" ht="15.75" customHeight="1">
      <c r="A9" s="3675"/>
      <c r="B9" s="191"/>
      <c r="C9" s="1085"/>
      <c r="D9" s="1085"/>
      <c r="E9" s="1085"/>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92"/>
    </row>
    <row r="10" spans="1:39" ht="22.5">
      <c r="A10" s="3675"/>
      <c r="B10" s="191"/>
      <c r="C10" s="1085"/>
      <c r="D10" s="1085"/>
      <c r="E10" s="1085"/>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92"/>
      <c r="AD10" s="3942" t="s">
        <v>1422</v>
      </c>
      <c r="AE10" s="3943"/>
      <c r="AF10" s="3943"/>
      <c r="AG10" s="3943"/>
      <c r="AH10" s="3943"/>
      <c r="AI10" s="3943"/>
      <c r="AJ10" s="3943"/>
      <c r="AK10" s="3943"/>
      <c r="AL10" s="3943"/>
    </row>
    <row r="11" spans="1:39">
      <c r="A11" s="1104"/>
      <c r="B11" s="1104"/>
      <c r="C11" s="1104"/>
      <c r="D11" s="1104"/>
      <c r="E11" s="735" t="str">
        <f>'Cashflow Governmental'!C13</f>
        <v>2021</v>
      </c>
      <c r="F11" s="1088"/>
      <c r="G11" s="1088"/>
      <c r="H11" s="1088"/>
      <c r="I11" s="1088"/>
      <c r="J11" s="1088"/>
      <c r="K11" s="1088"/>
      <c r="L11" s="1088"/>
      <c r="M11" s="1088"/>
      <c r="N11" s="1088"/>
      <c r="O11" s="1088"/>
      <c r="P11" s="1088"/>
      <c r="Q11" s="1088"/>
      <c r="R11" s="1088"/>
      <c r="S11" s="1088"/>
      <c r="T11" s="1088"/>
      <c r="U11" s="1088"/>
      <c r="V11" s="1088"/>
      <c r="W11" s="735">
        <f>'Cashflow Governmental'!U13</f>
        <v>2022</v>
      </c>
      <c r="X11" s="1088"/>
      <c r="Y11" s="1088"/>
      <c r="Z11" s="1088"/>
      <c r="AA11" s="1088"/>
      <c r="AB11" s="1088"/>
      <c r="AC11" s="1088"/>
      <c r="AD11" s="1093"/>
      <c r="AE11" s="1093"/>
      <c r="AF11" s="1093"/>
      <c r="AG11" s="1093"/>
      <c r="AH11" s="1093"/>
      <c r="AI11" s="1093"/>
      <c r="AJ11" s="1094" t="s">
        <v>7</v>
      </c>
      <c r="AK11" s="1094"/>
      <c r="AL11" s="3680" t="s">
        <v>8</v>
      </c>
      <c r="AM11" s="3681"/>
    </row>
    <row r="12" spans="1:39">
      <c r="A12" s="107"/>
      <c r="B12" s="107"/>
      <c r="C12" s="107"/>
      <c r="D12" s="107"/>
      <c r="E12" s="755" t="s">
        <v>123</v>
      </c>
      <c r="F12" s="105"/>
      <c r="G12" s="755" t="s">
        <v>124</v>
      </c>
      <c r="H12" s="105"/>
      <c r="I12" s="755" t="s">
        <v>125</v>
      </c>
      <c r="J12" s="105"/>
      <c r="K12" s="755" t="s">
        <v>126</v>
      </c>
      <c r="L12" s="105"/>
      <c r="M12" s="755" t="s">
        <v>127</v>
      </c>
      <c r="N12" s="105"/>
      <c r="O12" s="755" t="s">
        <v>142</v>
      </c>
      <c r="P12" s="105"/>
      <c r="Q12" s="755" t="s">
        <v>143</v>
      </c>
      <c r="R12" s="105"/>
      <c r="S12" s="755" t="s">
        <v>130</v>
      </c>
      <c r="T12" s="105"/>
      <c r="U12" s="755" t="s">
        <v>131</v>
      </c>
      <c r="V12" s="105"/>
      <c r="W12" s="755" t="s">
        <v>132</v>
      </c>
      <c r="X12" s="105"/>
      <c r="Y12" s="755" t="s">
        <v>133</v>
      </c>
      <c r="Z12" s="105"/>
      <c r="AA12" s="755" t="s">
        <v>184</v>
      </c>
      <c r="AB12" s="105"/>
      <c r="AC12" s="105"/>
      <c r="AD12" s="755">
        <f>'Cashflow Governmental'!AB14</f>
        <v>2021</v>
      </c>
      <c r="AE12" s="105" t="s">
        <v>14</v>
      </c>
      <c r="AF12" s="105"/>
      <c r="AG12" s="755">
        <f>'Cashflow Governmental'!AE14</f>
        <v>2020</v>
      </c>
      <c r="AH12" s="756"/>
      <c r="AI12" s="756"/>
      <c r="AJ12" s="1095" t="s">
        <v>11</v>
      </c>
      <c r="AK12" s="3682"/>
      <c r="AL12" s="1095" t="s">
        <v>12</v>
      </c>
      <c r="AM12" s="3681"/>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65"/>
      <c r="AD13" s="140"/>
      <c r="AE13" s="140"/>
      <c r="AF13" s="3170"/>
      <c r="AG13" s="140"/>
      <c r="AH13" s="140"/>
      <c r="AI13" s="984"/>
      <c r="AJ13" s="1096"/>
      <c r="AK13" s="1096"/>
      <c r="AL13" s="1096"/>
    </row>
    <row r="14" spans="1:39">
      <c r="A14" s="107"/>
      <c r="B14" s="261" t="s">
        <v>1141</v>
      </c>
      <c r="C14" s="105"/>
      <c r="D14" s="1839"/>
      <c r="E14" s="306">
        <v>-580.29999999999995</v>
      </c>
      <c r="F14" s="140"/>
      <c r="G14" s="306"/>
      <c r="H14" s="140"/>
      <c r="I14" s="135"/>
      <c r="J14" s="140"/>
      <c r="K14" s="135"/>
      <c r="L14" s="140"/>
      <c r="M14" s="135"/>
      <c r="N14" s="140"/>
      <c r="O14" s="135"/>
      <c r="P14" s="140"/>
      <c r="Q14" s="135"/>
      <c r="R14" s="888"/>
      <c r="S14" s="135"/>
      <c r="T14" s="1871"/>
      <c r="U14" s="135"/>
      <c r="V14" s="888"/>
      <c r="W14" s="135"/>
      <c r="X14" s="888"/>
      <c r="Y14" s="135"/>
      <c r="Z14" s="1871"/>
      <c r="AA14" s="135"/>
      <c r="AB14" s="140"/>
      <c r="AC14" s="1065"/>
      <c r="AD14" s="1844">
        <f>E14</f>
        <v>-580.29999999999995</v>
      </c>
      <c r="AE14" s="140"/>
      <c r="AF14" s="3170"/>
      <c r="AG14" s="1844">
        <v>-562.70000000000005</v>
      </c>
      <c r="AH14" s="140"/>
      <c r="AI14" s="984"/>
      <c r="AJ14" s="1845">
        <f>+AD14-AG14</f>
        <v>-17.599999999999909</v>
      </c>
      <c r="AK14" s="1096"/>
      <c r="AL14" s="3683">
        <f>-ROUND((+AJ14/AG14),3)</f>
        <v>-3.1E-2</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65"/>
      <c r="AD15" s="140"/>
      <c r="AE15" s="140"/>
      <c r="AF15" s="3170"/>
      <c r="AG15" s="140"/>
      <c r="AH15" s="140"/>
      <c r="AI15" s="984"/>
      <c r="AJ15" s="1096"/>
      <c r="AK15" s="1096"/>
      <c r="AL15" s="1096"/>
    </row>
    <row r="16" spans="1:39">
      <c r="A16" s="107"/>
      <c r="B16" s="105" t="s">
        <v>194</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65"/>
      <c r="AD16" s="140"/>
      <c r="AE16" s="117"/>
      <c r="AF16" s="3170"/>
      <c r="AG16" s="140"/>
      <c r="AH16" s="140"/>
      <c r="AI16" s="984"/>
      <c r="AJ16" s="1096"/>
      <c r="AK16" s="1096"/>
      <c r="AL16" s="1096"/>
    </row>
    <row r="17" spans="1:38">
      <c r="A17" s="107"/>
      <c r="B17" s="886" t="s">
        <v>933</v>
      </c>
      <c r="C17" s="107"/>
      <c r="D17" s="107"/>
      <c r="E17" s="1074"/>
      <c r="F17" s="118"/>
      <c r="G17" s="1074"/>
      <c r="H17" s="118"/>
      <c r="I17" s="1074"/>
      <c r="J17" s="118"/>
      <c r="K17" s="1074"/>
      <c r="L17" s="118"/>
      <c r="M17" s="118"/>
      <c r="N17" s="118"/>
      <c r="O17" s="1074"/>
      <c r="P17" s="118"/>
      <c r="Q17" s="1074"/>
      <c r="R17" s="118"/>
      <c r="S17" s="1074"/>
      <c r="T17" s="118"/>
      <c r="U17" s="1074"/>
      <c r="V17" s="118"/>
      <c r="W17" s="1074"/>
      <c r="X17" s="118"/>
      <c r="Y17" s="1074"/>
      <c r="Z17" s="118"/>
      <c r="AA17" s="1074"/>
      <c r="AB17" s="118"/>
      <c r="AC17" s="673"/>
      <c r="AD17" s="3194"/>
      <c r="AE17" s="1075"/>
      <c r="AF17" s="67"/>
      <c r="AG17" s="118"/>
      <c r="AH17" s="119"/>
      <c r="AI17" s="1076"/>
      <c r="AJ17" s="119"/>
      <c r="AK17" s="1077"/>
      <c r="AL17" s="1078"/>
    </row>
    <row r="18" spans="1:38">
      <c r="A18" s="107"/>
      <c r="B18" s="886" t="s">
        <v>1052</v>
      </c>
      <c r="C18" s="107"/>
      <c r="D18" s="107"/>
      <c r="E18" s="1074"/>
      <c r="F18" s="118"/>
      <c r="G18" s="1074"/>
      <c r="H18" s="118"/>
      <c r="I18" s="1074"/>
      <c r="J18" s="118"/>
      <c r="K18" s="1074"/>
      <c r="L18" s="118"/>
      <c r="M18" s="118"/>
      <c r="N18" s="118"/>
      <c r="O18" s="1074"/>
      <c r="P18" s="118"/>
      <c r="Q18" s="1074"/>
      <c r="R18" s="118"/>
      <c r="S18" s="1074"/>
      <c r="T18" s="118"/>
      <c r="U18" s="1074"/>
      <c r="V18" s="118"/>
      <c r="W18" s="1074"/>
      <c r="X18" s="118"/>
      <c r="Y18" s="1074"/>
      <c r="Z18" s="118"/>
      <c r="AA18" s="1074"/>
      <c r="AB18" s="118"/>
      <c r="AC18" s="673"/>
      <c r="AD18" s="3194"/>
      <c r="AE18" s="1079"/>
      <c r="AF18" s="67"/>
      <c r="AG18" s="118"/>
      <c r="AH18" s="119"/>
      <c r="AI18" s="1076"/>
      <c r="AJ18" s="119"/>
      <c r="AK18" s="1077"/>
      <c r="AL18" s="1719"/>
    </row>
    <row r="19" spans="1:38" s="987" customFormat="1">
      <c r="A19" s="988"/>
      <c r="B19" s="886" t="s">
        <v>967</v>
      </c>
      <c r="C19" s="988"/>
      <c r="D19" s="988"/>
      <c r="E19" s="1532">
        <f>$AD19</f>
        <v>0</v>
      </c>
      <c r="F19" s="889"/>
      <c r="G19" s="1532"/>
      <c r="H19" s="889"/>
      <c r="I19" s="1532"/>
      <c r="J19" s="889"/>
      <c r="K19" s="1532"/>
      <c r="L19" s="889"/>
      <c r="M19" s="1532"/>
      <c r="N19" s="889"/>
      <c r="O19" s="1532"/>
      <c r="P19" s="889"/>
      <c r="Q19" s="1532"/>
      <c r="R19" s="889"/>
      <c r="S19" s="1532"/>
      <c r="T19" s="1407"/>
      <c r="U19" s="1532"/>
      <c r="V19" s="889"/>
      <c r="W19" s="1532"/>
      <c r="X19" s="889"/>
      <c r="Y19" s="1532"/>
      <c r="Z19" s="889"/>
      <c r="AA19" s="1532"/>
      <c r="AB19" s="889"/>
      <c r="AC19" s="1408"/>
      <c r="AD19" s="1532">
        <v>0</v>
      </c>
      <c r="AE19" s="3195"/>
      <c r="AF19" s="1018"/>
      <c r="AG19" s="1532">
        <v>0</v>
      </c>
      <c r="AH19" s="678"/>
      <c r="AI19" s="1924"/>
      <c r="AJ19" s="678">
        <f>ROUND(AD19-AG19,1)</f>
        <v>0</v>
      </c>
      <c r="AK19" s="1715"/>
      <c r="AL19" s="1716">
        <f>ROUND(IF(AG19=0,0,AJ19/ABS(AG19)),3)</f>
        <v>0</v>
      </c>
    </row>
    <row r="20" spans="1:38" s="987" customFormat="1">
      <c r="A20" s="988"/>
      <c r="B20" s="886" t="s">
        <v>1053</v>
      </c>
      <c r="C20" s="988"/>
      <c r="D20" s="988"/>
      <c r="E20" s="1532" t="s">
        <v>14</v>
      </c>
      <c r="F20" s="889"/>
      <c r="G20" s="1532"/>
      <c r="H20" s="889"/>
      <c r="I20" s="1532"/>
      <c r="J20" s="889"/>
      <c r="K20" s="1532"/>
      <c r="L20" s="889"/>
      <c r="M20" s="1532"/>
      <c r="N20" s="889"/>
      <c r="O20" s="1532"/>
      <c r="P20" s="889"/>
      <c r="Q20" s="1532"/>
      <c r="R20" s="889"/>
      <c r="S20" s="1532"/>
      <c r="T20" s="889"/>
      <c r="U20" s="1532"/>
      <c r="V20" s="889"/>
      <c r="W20" s="1532"/>
      <c r="X20" s="889"/>
      <c r="Y20" s="1532"/>
      <c r="Z20" s="889"/>
      <c r="AA20" s="1532"/>
      <c r="AB20" s="889"/>
      <c r="AC20" s="1408"/>
      <c r="AD20" s="889"/>
      <c r="AE20" s="3195"/>
      <c r="AF20" s="1018"/>
      <c r="AG20" s="889"/>
      <c r="AH20" s="678"/>
      <c r="AI20" s="1076"/>
      <c r="AJ20" s="678" t="s">
        <v>14</v>
      </c>
      <c r="AK20" s="1715"/>
      <c r="AL20" s="1717" t="s">
        <v>14</v>
      </c>
    </row>
    <row r="21" spans="1:38" s="987" customFormat="1">
      <c r="A21" s="988"/>
      <c r="B21" s="886" t="s">
        <v>968</v>
      </c>
      <c r="C21" s="988"/>
      <c r="D21" s="988"/>
      <c r="E21" s="1532">
        <f>$AD21</f>
        <v>0</v>
      </c>
      <c r="F21" s="889"/>
      <c r="G21" s="1532"/>
      <c r="H21" s="889"/>
      <c r="I21" s="1532"/>
      <c r="J21" s="889"/>
      <c r="K21" s="1532"/>
      <c r="L21" s="889"/>
      <c r="M21" s="1532"/>
      <c r="N21" s="889"/>
      <c r="O21" s="1532"/>
      <c r="P21" s="889"/>
      <c r="Q21" s="1532"/>
      <c r="R21" s="889"/>
      <c r="S21" s="1532"/>
      <c r="T21" s="1532"/>
      <c r="U21" s="1532"/>
      <c r="V21" s="889"/>
      <c r="W21" s="1532"/>
      <c r="X21" s="889"/>
      <c r="Y21" s="1532"/>
      <c r="Z21" s="889"/>
      <c r="AA21" s="1532"/>
      <c r="AB21" s="889"/>
      <c r="AC21" s="1408"/>
      <c r="AD21" s="1532">
        <v>0</v>
      </c>
      <c r="AE21" s="3195"/>
      <c r="AF21" s="1018"/>
      <c r="AG21" s="1532">
        <v>0</v>
      </c>
      <c r="AH21" s="678"/>
      <c r="AI21" s="1076"/>
      <c r="AJ21" s="678">
        <f t="shared" ref="AJ21:AJ41" si="0">ROUND(AD21-AG21,1)</f>
        <v>0</v>
      </c>
      <c r="AK21" s="1715"/>
      <c r="AL21" s="1717">
        <f>ROUND(IF(AG21=0,0,AJ21/ABS(AG21)),3)</f>
        <v>0</v>
      </c>
    </row>
    <row r="22" spans="1:38" s="987" customFormat="1">
      <c r="A22" s="988"/>
      <c r="B22" s="886" t="s">
        <v>1058</v>
      </c>
      <c r="C22" s="988"/>
      <c r="D22" s="988"/>
      <c r="E22" s="1532" t="s">
        <v>14</v>
      </c>
      <c r="F22" s="889"/>
      <c r="G22" s="1532"/>
      <c r="H22" s="889"/>
      <c r="I22" s="1532"/>
      <c r="J22" s="889"/>
      <c r="K22" s="1532"/>
      <c r="L22" s="889"/>
      <c r="M22" s="1532"/>
      <c r="N22" s="889"/>
      <c r="O22" s="1532"/>
      <c r="P22" s="889"/>
      <c r="Q22" s="1532"/>
      <c r="R22" s="889"/>
      <c r="S22" s="1532"/>
      <c r="T22" s="889"/>
      <c r="U22" s="1532"/>
      <c r="V22" s="889"/>
      <c r="W22" s="1532"/>
      <c r="X22" s="889"/>
      <c r="Y22" s="1532"/>
      <c r="Z22" s="889"/>
      <c r="AA22" s="1532"/>
      <c r="AB22" s="889"/>
      <c r="AC22" s="1408"/>
      <c r="AD22" s="889"/>
      <c r="AE22" s="3195"/>
      <c r="AF22" s="1018"/>
      <c r="AG22" s="889"/>
      <c r="AH22" s="678"/>
      <c r="AI22" s="1076"/>
      <c r="AJ22" s="678" t="s">
        <v>14</v>
      </c>
      <c r="AK22" s="1715"/>
      <c r="AL22" s="1717" t="s">
        <v>14</v>
      </c>
    </row>
    <row r="23" spans="1:38" s="987" customFormat="1">
      <c r="A23" s="988"/>
      <c r="B23" s="886" t="s">
        <v>972</v>
      </c>
      <c r="C23" s="988"/>
      <c r="D23" s="988"/>
      <c r="E23" s="1532">
        <f t="shared" ref="E23:E28" si="1">$AD23</f>
        <v>0</v>
      </c>
      <c r="F23" s="889"/>
      <c r="G23" s="1532"/>
      <c r="H23" s="889"/>
      <c r="I23" s="1532"/>
      <c r="J23" s="889"/>
      <c r="K23" s="1532"/>
      <c r="L23" s="889"/>
      <c r="M23" s="1532"/>
      <c r="N23" s="889"/>
      <c r="O23" s="1532"/>
      <c r="P23" s="889"/>
      <c r="Q23" s="1532"/>
      <c r="R23" s="889"/>
      <c r="S23" s="1532"/>
      <c r="T23" s="1532"/>
      <c r="U23" s="1532"/>
      <c r="V23" s="889"/>
      <c r="W23" s="1532"/>
      <c r="X23" s="889"/>
      <c r="Y23" s="1532"/>
      <c r="Z23" s="889"/>
      <c r="AA23" s="1532"/>
      <c r="AB23" s="889"/>
      <c r="AC23" s="1408"/>
      <c r="AD23" s="1532">
        <v>0</v>
      </c>
      <c r="AE23" s="3195"/>
      <c r="AF23" s="1018"/>
      <c r="AG23" s="1532">
        <v>0</v>
      </c>
      <c r="AH23" s="678"/>
      <c r="AI23" s="1076"/>
      <c r="AJ23" s="678">
        <f t="shared" si="0"/>
        <v>0</v>
      </c>
      <c r="AK23" s="1715"/>
      <c r="AL23" s="1717">
        <f t="shared" ref="AL23:AL28" si="2">ROUND(IF(AG23=0,0,AJ23/ABS(AG23)),3)</f>
        <v>0</v>
      </c>
    </row>
    <row r="24" spans="1:38" s="987" customFormat="1">
      <c r="A24" s="988"/>
      <c r="B24" s="886" t="s">
        <v>1115</v>
      </c>
      <c r="C24" s="988"/>
      <c r="D24" s="988"/>
      <c r="E24" s="1532">
        <f t="shared" si="1"/>
        <v>0</v>
      </c>
      <c r="F24" s="889"/>
      <c r="G24" s="1532"/>
      <c r="H24" s="889"/>
      <c r="I24" s="1532"/>
      <c r="J24" s="889"/>
      <c r="K24" s="1532"/>
      <c r="L24" s="889"/>
      <c r="M24" s="1532"/>
      <c r="N24" s="889"/>
      <c r="O24" s="1532"/>
      <c r="P24" s="889"/>
      <c r="Q24" s="1532"/>
      <c r="R24" s="889"/>
      <c r="S24" s="1532"/>
      <c r="T24" s="1532"/>
      <c r="U24" s="1532"/>
      <c r="V24" s="889"/>
      <c r="W24" s="1532"/>
      <c r="X24" s="889"/>
      <c r="Y24" s="1532"/>
      <c r="Z24" s="889"/>
      <c r="AA24" s="1532"/>
      <c r="AB24" s="889"/>
      <c r="AC24" s="1408"/>
      <c r="AD24" s="1532">
        <v>0</v>
      </c>
      <c r="AE24" s="3195"/>
      <c r="AF24" s="1018"/>
      <c r="AG24" s="1532">
        <v>0</v>
      </c>
      <c r="AH24" s="678"/>
      <c r="AI24" s="1076"/>
      <c r="AJ24" s="678">
        <f>ROUND(AD24-AG24,1)</f>
        <v>0</v>
      </c>
      <c r="AK24" s="1715"/>
      <c r="AL24" s="1717">
        <f t="shared" si="2"/>
        <v>0</v>
      </c>
    </row>
    <row r="25" spans="1:38" s="987" customFormat="1">
      <c r="A25" s="988"/>
      <c r="B25" s="886" t="s">
        <v>975</v>
      </c>
      <c r="C25" s="988"/>
      <c r="D25" s="988"/>
      <c r="E25" s="1532">
        <f t="shared" si="1"/>
        <v>0</v>
      </c>
      <c r="F25" s="889"/>
      <c r="G25" s="1532"/>
      <c r="H25" s="889"/>
      <c r="I25" s="1532"/>
      <c r="J25" s="889"/>
      <c r="K25" s="1532"/>
      <c r="L25" s="889"/>
      <c r="M25" s="1532"/>
      <c r="N25" s="889"/>
      <c r="O25" s="1532"/>
      <c r="P25" s="889"/>
      <c r="Q25" s="1532"/>
      <c r="R25" s="889"/>
      <c r="S25" s="1532"/>
      <c r="T25" s="1532"/>
      <c r="U25" s="1532"/>
      <c r="V25" s="889"/>
      <c r="W25" s="1532"/>
      <c r="X25" s="889"/>
      <c r="Y25" s="1532"/>
      <c r="Z25" s="889"/>
      <c r="AA25" s="1532"/>
      <c r="AB25" s="889"/>
      <c r="AC25" s="1408"/>
      <c r="AD25" s="1532">
        <v>0</v>
      </c>
      <c r="AE25" s="3195"/>
      <c r="AF25" s="1018"/>
      <c r="AG25" s="1532">
        <v>0</v>
      </c>
      <c r="AH25" s="678"/>
      <c r="AI25" s="1076"/>
      <c r="AJ25" s="678">
        <f t="shared" si="0"/>
        <v>0</v>
      </c>
      <c r="AK25" s="1715"/>
      <c r="AL25" s="1717">
        <f t="shared" si="2"/>
        <v>0</v>
      </c>
    </row>
    <row r="26" spans="1:38" s="987" customFormat="1">
      <c r="A26" s="988"/>
      <c r="B26" s="886" t="s">
        <v>976</v>
      </c>
      <c r="C26" s="988"/>
      <c r="D26" s="988"/>
      <c r="E26" s="1532">
        <f t="shared" si="1"/>
        <v>0</v>
      </c>
      <c r="F26" s="889"/>
      <c r="G26" s="1532"/>
      <c r="H26" s="889"/>
      <c r="I26" s="1532"/>
      <c r="J26" s="889"/>
      <c r="K26" s="1532"/>
      <c r="L26" s="889"/>
      <c r="M26" s="1532"/>
      <c r="N26" s="889"/>
      <c r="O26" s="1532"/>
      <c r="P26" s="889"/>
      <c r="Q26" s="1532"/>
      <c r="R26" s="889"/>
      <c r="S26" s="1532"/>
      <c r="T26" s="1532"/>
      <c r="U26" s="1532"/>
      <c r="V26" s="889"/>
      <c r="W26" s="1532"/>
      <c r="X26" s="889"/>
      <c r="Y26" s="1532"/>
      <c r="Z26" s="889"/>
      <c r="AA26" s="1532"/>
      <c r="AB26" s="889"/>
      <c r="AC26" s="1408"/>
      <c r="AD26" s="1532">
        <v>0</v>
      </c>
      <c r="AE26" s="3195"/>
      <c r="AF26" s="1018"/>
      <c r="AG26" s="1532">
        <v>0</v>
      </c>
      <c r="AH26" s="678"/>
      <c r="AI26" s="1076"/>
      <c r="AJ26" s="678">
        <f t="shared" si="0"/>
        <v>0</v>
      </c>
      <c r="AK26" s="1715"/>
      <c r="AL26" s="1717">
        <f t="shared" si="2"/>
        <v>0</v>
      </c>
    </row>
    <row r="27" spans="1:38" s="987" customFormat="1">
      <c r="A27" s="988"/>
      <c r="B27" s="886" t="s">
        <v>934</v>
      </c>
      <c r="C27" s="988"/>
      <c r="D27" s="988"/>
      <c r="E27" s="1532">
        <f t="shared" si="1"/>
        <v>0</v>
      </c>
      <c r="F27" s="889"/>
      <c r="G27" s="1532"/>
      <c r="H27" s="889"/>
      <c r="I27" s="1532"/>
      <c r="J27" s="889"/>
      <c r="K27" s="1532"/>
      <c r="L27" s="889"/>
      <c r="M27" s="1532"/>
      <c r="N27" s="889"/>
      <c r="O27" s="1532"/>
      <c r="P27" s="889"/>
      <c r="Q27" s="1532"/>
      <c r="R27" s="889"/>
      <c r="S27" s="1532"/>
      <c r="T27" s="1532"/>
      <c r="U27" s="1532"/>
      <c r="V27" s="889"/>
      <c r="W27" s="1532"/>
      <c r="X27" s="889"/>
      <c r="Y27" s="1532"/>
      <c r="Z27" s="889"/>
      <c r="AA27" s="1532"/>
      <c r="AB27" s="889"/>
      <c r="AC27" s="1408"/>
      <c r="AD27" s="1532">
        <v>0</v>
      </c>
      <c r="AE27" s="3195"/>
      <c r="AF27" s="1018"/>
      <c r="AG27" s="1532">
        <v>0</v>
      </c>
      <c r="AH27" s="678"/>
      <c r="AI27" s="1076"/>
      <c r="AJ27" s="678">
        <f t="shared" si="0"/>
        <v>0</v>
      </c>
      <c r="AK27" s="1715"/>
      <c r="AL27" s="1717">
        <f t="shared" si="2"/>
        <v>0</v>
      </c>
    </row>
    <row r="28" spans="1:38" s="987" customFormat="1">
      <c r="A28" s="988"/>
      <c r="B28" s="886" t="s">
        <v>935</v>
      </c>
      <c r="C28" s="988"/>
      <c r="D28" s="988"/>
      <c r="E28" s="1532">
        <f t="shared" si="1"/>
        <v>0</v>
      </c>
      <c r="F28" s="889"/>
      <c r="G28" s="1532"/>
      <c r="H28" s="889"/>
      <c r="I28" s="1532"/>
      <c r="J28" s="889"/>
      <c r="K28" s="1532"/>
      <c r="L28" s="889"/>
      <c r="M28" s="1532"/>
      <c r="N28" s="889"/>
      <c r="O28" s="1532"/>
      <c r="P28" s="889"/>
      <c r="Q28" s="1532"/>
      <c r="R28" s="889"/>
      <c r="S28" s="1532"/>
      <c r="T28" s="1532"/>
      <c r="U28" s="1532"/>
      <c r="V28" s="889"/>
      <c r="W28" s="1532"/>
      <c r="X28" s="889"/>
      <c r="Y28" s="1532"/>
      <c r="Z28" s="889"/>
      <c r="AA28" s="1532"/>
      <c r="AB28" s="889"/>
      <c r="AC28" s="1408"/>
      <c r="AD28" s="1532">
        <v>0</v>
      </c>
      <c r="AE28" s="3195"/>
      <c r="AF28" s="1018"/>
      <c r="AG28" s="1532">
        <v>0</v>
      </c>
      <c r="AH28" s="678"/>
      <c r="AI28" s="1076"/>
      <c r="AJ28" s="678">
        <f t="shared" si="0"/>
        <v>0</v>
      </c>
      <c r="AK28" s="1715"/>
      <c r="AL28" s="1717">
        <f t="shared" si="2"/>
        <v>0</v>
      </c>
    </row>
    <row r="29" spans="1:38">
      <c r="A29" s="107"/>
      <c r="B29" s="886" t="s">
        <v>953</v>
      </c>
      <c r="C29" s="107"/>
      <c r="D29" s="107"/>
      <c r="E29" s="1532">
        <f>$AD29</f>
        <v>0</v>
      </c>
      <c r="F29" s="889"/>
      <c r="G29" s="1532"/>
      <c r="H29" s="889"/>
      <c r="I29" s="1532"/>
      <c r="J29" s="889"/>
      <c r="K29" s="1532"/>
      <c r="L29" s="889"/>
      <c r="M29" s="1532"/>
      <c r="N29" s="889"/>
      <c r="O29" s="1532"/>
      <c r="P29" s="889"/>
      <c r="Q29" s="1532"/>
      <c r="R29" s="889"/>
      <c r="S29" s="1532"/>
      <c r="T29" s="1532"/>
      <c r="U29" s="1532"/>
      <c r="V29" s="889"/>
      <c r="W29" s="1532"/>
      <c r="X29" s="889"/>
      <c r="Y29" s="1532"/>
      <c r="Z29" s="889"/>
      <c r="AA29" s="1532"/>
      <c r="AB29" s="889"/>
      <c r="AC29" s="1408"/>
      <c r="AD29" s="1532">
        <v>0</v>
      </c>
      <c r="AE29" s="3195"/>
      <c r="AF29" s="1018"/>
      <c r="AG29" s="1532">
        <v>0</v>
      </c>
      <c r="AH29" s="119"/>
      <c r="AI29" s="1076"/>
      <c r="AJ29" s="119">
        <f>ROUND(AD29-AG29,1)</f>
        <v>0</v>
      </c>
      <c r="AK29" s="1077"/>
      <c r="AL29" s="1642">
        <f>ROUND(IF(AG29=0,0,AJ29/ABS(AG29)),3)</f>
        <v>0</v>
      </c>
    </row>
    <row r="30" spans="1:38" s="987" customFormat="1">
      <c r="A30" s="988"/>
      <c r="B30" s="886" t="s">
        <v>1056</v>
      </c>
      <c r="C30" s="988"/>
      <c r="D30" s="988"/>
      <c r="E30" s="1532" t="s">
        <v>14</v>
      </c>
      <c r="F30" s="889"/>
      <c r="G30" s="1532"/>
      <c r="H30" s="889"/>
      <c r="I30" s="1532"/>
      <c r="J30" s="889"/>
      <c r="K30" s="1532"/>
      <c r="L30" s="889"/>
      <c r="M30" s="1532"/>
      <c r="N30" s="889"/>
      <c r="O30" s="1532"/>
      <c r="P30" s="889"/>
      <c r="Q30" s="1532"/>
      <c r="R30" s="889"/>
      <c r="S30" s="1532"/>
      <c r="T30" s="889"/>
      <c r="U30" s="1532"/>
      <c r="V30" s="889"/>
      <c r="W30" s="1532"/>
      <c r="X30" s="889"/>
      <c r="Y30" s="1532"/>
      <c r="Z30" s="889"/>
      <c r="AA30" s="1532"/>
      <c r="AB30" s="889"/>
      <c r="AC30" s="1408"/>
      <c r="AD30" s="889"/>
      <c r="AE30" s="3195"/>
      <c r="AF30" s="1018"/>
      <c r="AG30" s="889"/>
      <c r="AH30" s="678"/>
      <c r="AI30" s="1076"/>
      <c r="AJ30" s="678" t="s">
        <v>14</v>
      </c>
      <c r="AK30" s="1715"/>
      <c r="AL30" s="1717" t="s">
        <v>14</v>
      </c>
    </row>
    <row r="31" spans="1:38" s="987" customFormat="1">
      <c r="A31" s="988"/>
      <c r="B31" s="886" t="s">
        <v>980</v>
      </c>
      <c r="C31" s="988"/>
      <c r="D31" s="988"/>
      <c r="E31" s="1532">
        <f t="shared" ref="E31:E34" si="3">$AD31</f>
        <v>0</v>
      </c>
      <c r="F31" s="889"/>
      <c r="G31" s="1532"/>
      <c r="H31" s="889"/>
      <c r="I31" s="1532"/>
      <c r="J31" s="889"/>
      <c r="K31" s="1532"/>
      <c r="L31" s="889"/>
      <c r="M31" s="1532"/>
      <c r="N31" s="889"/>
      <c r="O31" s="1532"/>
      <c r="P31" s="889"/>
      <c r="Q31" s="1532"/>
      <c r="R31" s="889"/>
      <c r="S31" s="1532"/>
      <c r="T31" s="1532"/>
      <c r="U31" s="1532"/>
      <c r="V31" s="889"/>
      <c r="W31" s="1532"/>
      <c r="X31" s="889"/>
      <c r="Y31" s="1532"/>
      <c r="Z31" s="889"/>
      <c r="AA31" s="1532"/>
      <c r="AB31" s="889"/>
      <c r="AC31" s="1408"/>
      <c r="AD31" s="1532">
        <v>0</v>
      </c>
      <c r="AE31" s="3195"/>
      <c r="AF31" s="1018"/>
      <c r="AG31" s="1532">
        <v>0</v>
      </c>
      <c r="AH31" s="678"/>
      <c r="AI31" s="1076"/>
      <c r="AJ31" s="678">
        <f t="shared" si="0"/>
        <v>0</v>
      </c>
      <c r="AK31" s="1715"/>
      <c r="AL31" s="1717">
        <f>ROUND(IF(AG31=0,0,AJ31/ABS(AG31)),3)</f>
        <v>0</v>
      </c>
    </row>
    <row r="32" spans="1:38" s="987" customFormat="1">
      <c r="A32" s="988"/>
      <c r="B32" s="886" t="s">
        <v>982</v>
      </c>
      <c r="C32" s="988"/>
      <c r="D32" s="988"/>
      <c r="E32" s="1532">
        <f t="shared" si="3"/>
        <v>0</v>
      </c>
      <c r="F32" s="1532"/>
      <c r="G32" s="1532"/>
      <c r="H32" s="1532"/>
      <c r="I32" s="1532"/>
      <c r="J32" s="1532"/>
      <c r="K32" s="1532"/>
      <c r="L32" s="1532"/>
      <c r="M32" s="1532"/>
      <c r="N32" s="889"/>
      <c r="O32" s="1532"/>
      <c r="P32" s="889"/>
      <c r="Q32" s="1532"/>
      <c r="R32" s="889"/>
      <c r="S32" s="1532"/>
      <c r="T32" s="1532"/>
      <c r="U32" s="1532"/>
      <c r="V32" s="889"/>
      <c r="W32" s="1532"/>
      <c r="X32" s="889"/>
      <c r="Y32" s="1532"/>
      <c r="Z32" s="889"/>
      <c r="AA32" s="1532"/>
      <c r="AB32" s="889"/>
      <c r="AC32" s="1408"/>
      <c r="AD32" s="1532">
        <v>0</v>
      </c>
      <c r="AE32" s="3195"/>
      <c r="AF32" s="1018"/>
      <c r="AG32" s="1532">
        <v>0</v>
      </c>
      <c r="AH32" s="678"/>
      <c r="AI32" s="1076"/>
      <c r="AJ32" s="678">
        <f t="shared" si="0"/>
        <v>0</v>
      </c>
      <c r="AK32" s="1715"/>
      <c r="AL32" s="1717">
        <f>ROUND(IF(AG32=0,0,AJ32/ABS(AG32)),3)</f>
        <v>0</v>
      </c>
    </row>
    <row r="33" spans="1:39" s="987" customFormat="1">
      <c r="A33" s="988"/>
      <c r="B33" s="886" t="s">
        <v>983</v>
      </c>
      <c r="C33" s="988"/>
      <c r="D33" s="988"/>
      <c r="E33" s="1532">
        <f t="shared" si="3"/>
        <v>0</v>
      </c>
      <c r="F33" s="889"/>
      <c r="G33" s="1532"/>
      <c r="H33" s="889"/>
      <c r="I33" s="1532"/>
      <c r="J33" s="889"/>
      <c r="K33" s="1532"/>
      <c r="L33" s="889"/>
      <c r="M33" s="1532"/>
      <c r="N33" s="889"/>
      <c r="O33" s="1532"/>
      <c r="P33" s="889"/>
      <c r="Q33" s="1532"/>
      <c r="R33" s="889"/>
      <c r="S33" s="1532"/>
      <c r="T33" s="1532"/>
      <c r="U33" s="1532"/>
      <c r="V33" s="889"/>
      <c r="W33" s="1532"/>
      <c r="X33" s="889"/>
      <c r="Y33" s="1532"/>
      <c r="Z33" s="889"/>
      <c r="AA33" s="1532"/>
      <c r="AB33" s="889"/>
      <c r="AC33" s="1408"/>
      <c r="AD33" s="1532">
        <v>0</v>
      </c>
      <c r="AE33" s="3195"/>
      <c r="AF33" s="1018"/>
      <c r="AG33" s="1532">
        <v>0</v>
      </c>
      <c r="AH33" s="678"/>
      <c r="AI33" s="1076"/>
      <c r="AJ33" s="678">
        <f>ROUND(AD33-AG33,1)</f>
        <v>0</v>
      </c>
      <c r="AK33" s="1715"/>
      <c r="AL33" s="1717">
        <f>ROUND(IF(AG33=0,0,AJ33/ABS(AG33)),3)</f>
        <v>0</v>
      </c>
    </row>
    <row r="34" spans="1:39">
      <c r="A34" s="107"/>
      <c r="B34" s="886" t="s">
        <v>954</v>
      </c>
      <c r="C34" s="107"/>
      <c r="D34" s="107"/>
      <c r="E34" s="1532">
        <f t="shared" si="3"/>
        <v>0</v>
      </c>
      <c r="F34" s="889"/>
      <c r="G34" s="1532"/>
      <c r="H34" s="889"/>
      <c r="I34" s="1532"/>
      <c r="J34" s="889"/>
      <c r="K34" s="1532"/>
      <c r="L34" s="889"/>
      <c r="M34" s="1532"/>
      <c r="N34" s="889"/>
      <c r="O34" s="1532"/>
      <c r="P34" s="889"/>
      <c r="Q34" s="1532"/>
      <c r="R34" s="889"/>
      <c r="S34" s="1532"/>
      <c r="T34" s="1532"/>
      <c r="U34" s="1532"/>
      <c r="V34" s="889"/>
      <c r="W34" s="1532"/>
      <c r="X34" s="889"/>
      <c r="Y34" s="1532"/>
      <c r="Z34" s="889"/>
      <c r="AA34" s="1532"/>
      <c r="AB34" s="889"/>
      <c r="AC34" s="1408"/>
      <c r="AD34" s="1532">
        <v>0</v>
      </c>
      <c r="AE34" s="3195"/>
      <c r="AF34" s="1018"/>
      <c r="AG34" s="1532">
        <v>0.1</v>
      </c>
      <c r="AH34" s="119"/>
      <c r="AI34" s="1076"/>
      <c r="AJ34" s="119">
        <f t="shared" si="0"/>
        <v>-0.1</v>
      </c>
      <c r="AK34" s="1077"/>
      <c r="AL34" s="1642">
        <f>ROUND(IF(AG34=0,1,AJ34/ABS(AG34)),3)</f>
        <v>-1</v>
      </c>
    </row>
    <row r="35" spans="1:39">
      <c r="A35" s="107"/>
      <c r="B35" s="886" t="s">
        <v>1057</v>
      </c>
      <c r="C35" s="107"/>
      <c r="D35" s="107"/>
      <c r="E35" s="1532" t="s">
        <v>14</v>
      </c>
      <c r="F35" s="889"/>
      <c r="G35" s="1532"/>
      <c r="H35" s="889"/>
      <c r="I35" s="1532"/>
      <c r="J35" s="889"/>
      <c r="K35" s="1532"/>
      <c r="L35" s="889"/>
      <c r="M35" s="1532"/>
      <c r="N35" s="118"/>
      <c r="O35" s="1532"/>
      <c r="P35" s="118"/>
      <c r="Q35" s="1532"/>
      <c r="R35" s="118"/>
      <c r="S35" s="1532"/>
      <c r="T35" s="118"/>
      <c r="U35" s="1532"/>
      <c r="V35" s="118"/>
      <c r="W35" s="1532"/>
      <c r="X35" s="118"/>
      <c r="Y35" s="1532"/>
      <c r="Z35" s="118"/>
      <c r="AA35" s="1532"/>
      <c r="AB35" s="118"/>
      <c r="AC35" s="673"/>
      <c r="AD35" s="118"/>
      <c r="AE35" s="1079"/>
      <c r="AF35" s="67"/>
      <c r="AG35" s="118"/>
      <c r="AH35" s="119"/>
      <c r="AI35" s="1076"/>
      <c r="AJ35" s="678" t="s">
        <v>14</v>
      </c>
      <c r="AK35" s="1077"/>
      <c r="AL35" s="1717" t="s">
        <v>14</v>
      </c>
    </row>
    <row r="36" spans="1:39">
      <c r="A36" s="107"/>
      <c r="B36" s="886" t="s">
        <v>984</v>
      </c>
      <c r="C36" s="107"/>
      <c r="D36" s="107"/>
      <c r="E36" s="1532">
        <f t="shared" ref="E36:E41" si="4">$AD36</f>
        <v>0</v>
      </c>
      <c r="F36" s="889"/>
      <c r="G36" s="1532"/>
      <c r="H36" s="889"/>
      <c r="I36" s="1532"/>
      <c r="J36" s="889"/>
      <c r="K36" s="1532"/>
      <c r="L36" s="889"/>
      <c r="M36" s="1532"/>
      <c r="N36" s="889"/>
      <c r="O36" s="1532"/>
      <c r="P36" s="889"/>
      <c r="Q36" s="1532"/>
      <c r="R36" s="889"/>
      <c r="S36" s="1532"/>
      <c r="T36" s="1532"/>
      <c r="U36" s="1532"/>
      <c r="V36" s="889"/>
      <c r="W36" s="1532"/>
      <c r="X36" s="889"/>
      <c r="Y36" s="1532"/>
      <c r="Z36" s="889"/>
      <c r="AA36" s="1532"/>
      <c r="AB36" s="889"/>
      <c r="AC36" s="1408"/>
      <c r="AD36" s="1532">
        <v>0</v>
      </c>
      <c r="AE36" s="3195"/>
      <c r="AF36" s="1018"/>
      <c r="AG36" s="1532">
        <v>0</v>
      </c>
      <c r="AH36" s="119"/>
      <c r="AI36" s="1076"/>
      <c r="AJ36" s="119">
        <f t="shared" si="0"/>
        <v>0</v>
      </c>
      <c r="AK36" s="1077"/>
      <c r="AL36" s="1719">
        <f t="shared" ref="AL36:AL42" si="5">ROUND(IF(AG36=0,0,AJ36/ABS(AG36)),3)</f>
        <v>0</v>
      </c>
    </row>
    <row r="37" spans="1:39">
      <c r="A37" s="107"/>
      <c r="B37" s="886" t="s">
        <v>986</v>
      </c>
      <c r="C37" s="107"/>
      <c r="D37" s="107"/>
      <c r="E37" s="1532">
        <f t="shared" si="4"/>
        <v>0</v>
      </c>
      <c r="F37" s="889"/>
      <c r="G37" s="1532"/>
      <c r="H37" s="889"/>
      <c r="I37" s="1532"/>
      <c r="J37" s="889"/>
      <c r="K37" s="1532"/>
      <c r="L37" s="889"/>
      <c r="M37" s="1532"/>
      <c r="N37" s="889"/>
      <c r="O37" s="1532"/>
      <c r="P37" s="889"/>
      <c r="Q37" s="1532"/>
      <c r="R37" s="889"/>
      <c r="S37" s="1532"/>
      <c r="T37" s="1532"/>
      <c r="U37" s="1532"/>
      <c r="V37" s="889"/>
      <c r="W37" s="1532"/>
      <c r="X37" s="889"/>
      <c r="Y37" s="1532"/>
      <c r="Z37" s="889"/>
      <c r="AA37" s="1532"/>
      <c r="AB37" s="889"/>
      <c r="AC37" s="1408"/>
      <c r="AD37" s="1532">
        <v>0</v>
      </c>
      <c r="AE37" s="3195"/>
      <c r="AF37" s="1018"/>
      <c r="AG37" s="1532">
        <v>0</v>
      </c>
      <c r="AH37" s="119"/>
      <c r="AI37" s="1076"/>
      <c r="AJ37" s="119">
        <f t="shared" si="0"/>
        <v>0</v>
      </c>
      <c r="AK37" s="1077"/>
      <c r="AL37" s="1719">
        <f t="shared" si="5"/>
        <v>0</v>
      </c>
    </row>
    <row r="38" spans="1:39">
      <c r="A38" s="107"/>
      <c r="B38" s="886" t="s">
        <v>987</v>
      </c>
      <c r="C38" s="107"/>
      <c r="D38" s="107"/>
      <c r="E38" s="1532">
        <f t="shared" si="4"/>
        <v>0</v>
      </c>
      <c r="F38" s="889"/>
      <c r="G38" s="1532"/>
      <c r="H38" s="889"/>
      <c r="I38" s="1532"/>
      <c r="J38" s="889"/>
      <c r="K38" s="1532"/>
      <c r="L38" s="889"/>
      <c r="M38" s="1532"/>
      <c r="N38" s="889"/>
      <c r="O38" s="1532"/>
      <c r="P38" s="889"/>
      <c r="Q38" s="1532"/>
      <c r="R38" s="889"/>
      <c r="S38" s="1532"/>
      <c r="T38" s="1532"/>
      <c r="U38" s="1532"/>
      <c r="V38" s="889"/>
      <c r="W38" s="1532"/>
      <c r="X38" s="889"/>
      <c r="Y38" s="1532"/>
      <c r="Z38" s="889"/>
      <c r="AA38" s="1532"/>
      <c r="AB38" s="889"/>
      <c r="AC38" s="1408"/>
      <c r="AD38" s="1532">
        <v>0</v>
      </c>
      <c r="AE38" s="3195"/>
      <c r="AF38" s="1018"/>
      <c r="AG38" s="1532">
        <v>0</v>
      </c>
      <c r="AH38" s="119"/>
      <c r="AI38" s="1076"/>
      <c r="AJ38" s="119">
        <f t="shared" si="0"/>
        <v>0</v>
      </c>
      <c r="AK38" s="1077"/>
      <c r="AL38" s="1719">
        <f t="shared" si="5"/>
        <v>0</v>
      </c>
    </row>
    <row r="39" spans="1:39">
      <c r="A39" s="107"/>
      <c r="B39" s="886" t="s">
        <v>990</v>
      </c>
      <c r="C39" s="107"/>
      <c r="D39" s="107"/>
      <c r="E39" s="1532">
        <f t="shared" si="4"/>
        <v>0</v>
      </c>
      <c r="F39" s="889"/>
      <c r="G39" s="1532"/>
      <c r="H39" s="889"/>
      <c r="I39" s="1532"/>
      <c r="J39" s="889"/>
      <c r="K39" s="1532"/>
      <c r="L39" s="889"/>
      <c r="M39" s="1532"/>
      <c r="N39" s="889"/>
      <c r="O39" s="1532"/>
      <c r="P39" s="889"/>
      <c r="Q39" s="1532"/>
      <c r="R39" s="889"/>
      <c r="S39" s="1532"/>
      <c r="T39" s="1532"/>
      <c r="U39" s="1532"/>
      <c r="V39" s="889"/>
      <c r="W39" s="1532"/>
      <c r="X39" s="889"/>
      <c r="Y39" s="1532"/>
      <c r="Z39" s="889"/>
      <c r="AA39" s="1532"/>
      <c r="AB39" s="889"/>
      <c r="AC39" s="1408"/>
      <c r="AD39" s="1532">
        <v>0</v>
      </c>
      <c r="AE39" s="3195"/>
      <c r="AF39" s="1018"/>
      <c r="AG39" s="1532">
        <v>0</v>
      </c>
      <c r="AH39" s="119"/>
      <c r="AI39" s="1076"/>
      <c r="AJ39" s="119">
        <f t="shared" si="0"/>
        <v>0</v>
      </c>
      <c r="AK39" s="1077"/>
      <c r="AL39" s="1719">
        <f t="shared" si="5"/>
        <v>0</v>
      </c>
    </row>
    <row r="40" spans="1:39">
      <c r="A40" s="107"/>
      <c r="B40" s="886" t="s">
        <v>992</v>
      </c>
      <c r="C40" s="107"/>
      <c r="D40" s="107"/>
      <c r="E40" s="1532">
        <f t="shared" si="4"/>
        <v>0</v>
      </c>
      <c r="F40" s="889"/>
      <c r="G40" s="1532"/>
      <c r="H40" s="889"/>
      <c r="I40" s="1532"/>
      <c r="J40" s="889"/>
      <c r="K40" s="1532"/>
      <c r="L40" s="889"/>
      <c r="M40" s="1532"/>
      <c r="N40" s="889"/>
      <c r="O40" s="1532"/>
      <c r="P40" s="889"/>
      <c r="Q40" s="1532"/>
      <c r="R40" s="889"/>
      <c r="S40" s="1532"/>
      <c r="T40" s="1532"/>
      <c r="U40" s="1532"/>
      <c r="V40" s="889"/>
      <c r="W40" s="1532"/>
      <c r="X40" s="889"/>
      <c r="Y40" s="1532"/>
      <c r="Z40" s="889"/>
      <c r="AA40" s="1532"/>
      <c r="AB40" s="889"/>
      <c r="AC40" s="1408"/>
      <c r="AD40" s="1532">
        <v>0</v>
      </c>
      <c r="AE40" s="3195"/>
      <c r="AF40" s="1018"/>
      <c r="AG40" s="1532">
        <v>0</v>
      </c>
      <c r="AH40" s="119"/>
      <c r="AI40" s="1076"/>
      <c r="AJ40" s="119">
        <f t="shared" si="0"/>
        <v>0</v>
      </c>
      <c r="AK40" s="1077"/>
      <c r="AL40" s="1719">
        <f t="shared" si="5"/>
        <v>0</v>
      </c>
    </row>
    <row r="41" spans="1:39">
      <c r="A41" s="107"/>
      <c r="B41" s="886" t="s">
        <v>964</v>
      </c>
      <c r="C41" s="107"/>
      <c r="D41" s="107"/>
      <c r="E41" s="1532">
        <f t="shared" si="4"/>
        <v>0</v>
      </c>
      <c r="F41" s="889"/>
      <c r="G41" s="1532"/>
      <c r="H41" s="889"/>
      <c r="I41" s="1532"/>
      <c r="J41" s="889"/>
      <c r="K41" s="1532"/>
      <c r="L41" s="889"/>
      <c r="M41" s="1532"/>
      <c r="N41" s="1528"/>
      <c r="O41" s="1532"/>
      <c r="P41" s="1528"/>
      <c r="Q41" s="1532"/>
      <c r="R41" s="1528"/>
      <c r="S41" s="1532"/>
      <c r="T41" s="1528"/>
      <c r="U41" s="1532"/>
      <c r="V41" s="1528"/>
      <c r="W41" s="1532"/>
      <c r="X41" s="1528"/>
      <c r="Y41" s="1532"/>
      <c r="Z41" s="1528"/>
      <c r="AA41" s="1532"/>
      <c r="AB41" s="118"/>
      <c r="AC41" s="673"/>
      <c r="AD41" s="1781">
        <v>0</v>
      </c>
      <c r="AE41" s="3180"/>
      <c r="AF41" s="1969"/>
      <c r="AG41" s="1798">
        <v>0</v>
      </c>
      <c r="AH41" s="119"/>
      <c r="AI41" s="1076"/>
      <c r="AJ41" s="119">
        <f t="shared" si="0"/>
        <v>0</v>
      </c>
      <c r="AK41" s="1077"/>
      <c r="AL41" s="1716">
        <f>ROUND(IF(AG41=0,0,AJ41/ABS(AG41)),3)</f>
        <v>0</v>
      </c>
    </row>
    <row r="42" spans="1:39" s="3685" customFormat="1" collapsed="1">
      <c r="A42" s="105"/>
      <c r="B42" s="310" t="s">
        <v>999</v>
      </c>
      <c r="C42" s="105"/>
      <c r="D42" s="105"/>
      <c r="E42" s="1531">
        <f>ROUND(SUM(E19:E41),1)</f>
        <v>0</v>
      </c>
      <c r="F42" s="112"/>
      <c r="G42" s="1531">
        <f>ROUND(SUM(G19:G41),1)</f>
        <v>0</v>
      </c>
      <c r="H42" s="1089"/>
      <c r="I42" s="1531">
        <f>ROUND(SUM(I19:I41),1)</f>
        <v>0</v>
      </c>
      <c r="J42" s="112"/>
      <c r="K42" s="1531">
        <f>ROUND(SUM(K19:K41),1)</f>
        <v>0</v>
      </c>
      <c r="L42" s="112"/>
      <c r="M42" s="1531">
        <f>ROUND(SUM(M19:M41),1)</f>
        <v>0</v>
      </c>
      <c r="N42" s="112"/>
      <c r="O42" s="1531">
        <f>ROUND(SUM(O19:O41),1)</f>
        <v>0</v>
      </c>
      <c r="P42" s="112"/>
      <c r="Q42" s="1531">
        <f>ROUND(SUM(Q19:Q41),1)</f>
        <v>0</v>
      </c>
      <c r="R42" s="112"/>
      <c r="S42" s="1531">
        <f>ROUND(SUM(S19:S41),1)</f>
        <v>0</v>
      </c>
      <c r="T42" s="112"/>
      <c r="U42" s="1531">
        <f>ROUND(SUM(U19:U41),1)</f>
        <v>0</v>
      </c>
      <c r="V42" s="112"/>
      <c r="W42" s="1531">
        <f>ROUND(SUM(W19:W41),1)</f>
        <v>0</v>
      </c>
      <c r="X42" s="112"/>
      <c r="Y42" s="1531">
        <f>ROUND(SUM(Y19:Y41),1)</f>
        <v>0</v>
      </c>
      <c r="Z42" s="112"/>
      <c r="AA42" s="1531">
        <f>ROUND(SUM(AA19:AA41),1)</f>
        <v>0</v>
      </c>
      <c r="AB42" s="112"/>
      <c r="AC42" s="674"/>
      <c r="AD42" s="1531">
        <f>ROUND(SUM(AD19:AD41),1)</f>
        <v>0</v>
      </c>
      <c r="AE42" s="1080"/>
      <c r="AF42" s="115"/>
      <c r="AG42" s="1531">
        <f>ROUND(SUM(AG19:AG41),1)</f>
        <v>0.1</v>
      </c>
      <c r="AH42" s="1099"/>
      <c r="AI42" s="1076"/>
      <c r="AJ42" s="1531">
        <f>ROUND(SUM(AJ19:AJ41),1)</f>
        <v>-0.1</v>
      </c>
      <c r="AK42" s="3684"/>
      <c r="AL42" s="3317">
        <f t="shared" si="5"/>
        <v>-1</v>
      </c>
    </row>
    <row r="43" spans="1:39" s="3199" customFormat="1">
      <c r="A43" s="118"/>
      <c r="B43" s="3686"/>
      <c r="C43" s="118"/>
      <c r="D43" s="118"/>
      <c r="E43" s="1532"/>
      <c r="F43" s="889"/>
      <c r="G43" s="1116"/>
      <c r="H43" s="889"/>
      <c r="I43" s="1532"/>
      <c r="J43" s="889"/>
      <c r="K43" s="1116"/>
      <c r="L43" s="118"/>
      <c r="M43" s="1074"/>
      <c r="N43" s="118"/>
      <c r="O43" s="671"/>
      <c r="P43" s="118"/>
      <c r="Q43" s="1074"/>
      <c r="R43" s="118"/>
      <c r="S43" s="671"/>
      <c r="T43" s="118"/>
      <c r="U43" s="671"/>
      <c r="V43" s="118"/>
      <c r="W43" s="1074"/>
      <c r="X43" s="118"/>
      <c r="Y43" s="1074"/>
      <c r="Z43" s="118"/>
      <c r="AA43" s="1074"/>
      <c r="AB43" s="118"/>
      <c r="AC43" s="673"/>
      <c r="AD43" s="1074"/>
      <c r="AE43" s="1075"/>
      <c r="AF43" s="673"/>
      <c r="AG43" s="1074"/>
      <c r="AH43" s="119"/>
      <c r="AI43" s="1076"/>
      <c r="AJ43" s="358"/>
      <c r="AK43" s="358"/>
      <c r="AL43" s="1078"/>
      <c r="AM43" s="358"/>
    </row>
    <row r="44" spans="1:39">
      <c r="A44" s="107"/>
      <c r="B44" s="107" t="s">
        <v>148</v>
      </c>
      <c r="C44" s="107"/>
      <c r="D44" s="107"/>
      <c r="E44" s="1532">
        <f>$AD44</f>
        <v>5.6</v>
      </c>
      <c r="F44" s="889"/>
      <c r="G44" s="1532"/>
      <c r="H44" s="889"/>
      <c r="I44" s="1532"/>
      <c r="J44" s="889"/>
      <c r="K44" s="1532"/>
      <c r="L44" s="889"/>
      <c r="M44" s="1532"/>
      <c r="N44" s="889"/>
      <c r="O44" s="1532"/>
      <c r="P44" s="889"/>
      <c r="Q44" s="1532"/>
      <c r="R44" s="889"/>
      <c r="S44" s="1532"/>
      <c r="T44" s="1532"/>
      <c r="U44" s="1532"/>
      <c r="V44" s="889"/>
      <c r="W44" s="1532"/>
      <c r="X44" s="889"/>
      <c r="Y44" s="1532"/>
      <c r="Z44" s="889"/>
      <c r="AA44" s="1532"/>
      <c r="AB44" s="889"/>
      <c r="AC44" s="1408"/>
      <c r="AD44" s="1532">
        <v>5.6</v>
      </c>
      <c r="AE44" s="3195"/>
      <c r="AF44" s="1018"/>
      <c r="AG44" s="1532">
        <v>85.7</v>
      </c>
      <c r="AH44" s="119"/>
      <c r="AI44" s="1098"/>
      <c r="AJ44" s="1106">
        <f>ROUND(AD44-AG44,1)</f>
        <v>-80.099999999999994</v>
      </c>
      <c r="AK44" s="1077"/>
      <c r="AL44" s="1720">
        <f>ROUND(IF(AG44=0,0,AJ44/ABS(AG44)),3)</f>
        <v>-0.93500000000000005</v>
      </c>
    </row>
    <row r="45" spans="1:39">
      <c r="A45" s="107"/>
      <c r="B45" s="107"/>
      <c r="C45" s="107"/>
      <c r="D45" s="107"/>
      <c r="E45" s="1036"/>
      <c r="F45" s="889"/>
      <c r="G45" s="1036"/>
      <c r="H45" s="889"/>
      <c r="I45" s="1036"/>
      <c r="J45" s="889"/>
      <c r="K45" s="1036"/>
      <c r="L45" s="118"/>
      <c r="M45" s="126"/>
      <c r="N45" s="118"/>
      <c r="O45" s="126"/>
      <c r="P45" s="118"/>
      <c r="Q45" s="126"/>
      <c r="R45" s="118"/>
      <c r="S45" s="126"/>
      <c r="T45" s="118"/>
      <c r="U45" s="126"/>
      <c r="V45" s="118"/>
      <c r="W45" s="126"/>
      <c r="X45" s="118"/>
      <c r="Y45" s="126"/>
      <c r="Z45" s="118"/>
      <c r="AA45" s="126"/>
      <c r="AB45" s="118"/>
      <c r="AC45" s="673"/>
      <c r="AD45" s="126"/>
      <c r="AE45" s="1075"/>
      <c r="AF45" s="673"/>
      <c r="AG45" s="126"/>
      <c r="AH45" s="67"/>
      <c r="AI45" s="1098"/>
      <c r="AJ45" s="358"/>
      <c r="AK45" s="1096"/>
      <c r="AL45" s="1078"/>
    </row>
    <row r="46" spans="1:39">
      <c r="A46" s="107"/>
      <c r="B46" s="105" t="s">
        <v>195</v>
      </c>
      <c r="C46" s="107"/>
      <c r="D46" s="107"/>
      <c r="E46" s="112">
        <f>ROUND(SUM(E42+E44),1)</f>
        <v>5.6</v>
      </c>
      <c r="F46" s="112"/>
      <c r="G46" s="112">
        <f>ROUND(SUM(G42+G44),1)</f>
        <v>0</v>
      </c>
      <c r="H46" s="112"/>
      <c r="I46" s="112">
        <f>ROUND(SUM(I42+I44),1)</f>
        <v>0</v>
      </c>
      <c r="J46" s="112"/>
      <c r="K46" s="112">
        <f>ROUND(SUM(K42+K44),1)</f>
        <v>0</v>
      </c>
      <c r="L46" s="112"/>
      <c r="M46" s="112">
        <f>ROUND(SUM(M42+M44),1)</f>
        <v>0</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74"/>
      <c r="AD46" s="112">
        <f>ROUND(SUM(AD42+AD44),1)</f>
        <v>5.6</v>
      </c>
      <c r="AE46" s="1080"/>
      <c r="AF46" s="674"/>
      <c r="AG46" s="112">
        <f>ROUND(SUM(AG42+AG44),1)</f>
        <v>85.8</v>
      </c>
      <c r="AH46" s="1099"/>
      <c r="AI46" s="1098"/>
      <c r="AJ46" s="1101">
        <f>ROUND(SUM(AJ42+AJ44),1)</f>
        <v>-80.2</v>
      </c>
      <c r="AK46" s="1111"/>
      <c r="AL46" s="3687">
        <f>ROUND(SUM(AD46-AG46)/ABS(AG46),3)</f>
        <v>-0.93500000000000005</v>
      </c>
      <c r="AM46" s="3685"/>
    </row>
    <row r="47" spans="1:39">
      <c r="A47" s="107"/>
      <c r="B47" s="107"/>
      <c r="C47" s="107"/>
      <c r="D47" s="107"/>
      <c r="E47" s="1036"/>
      <c r="F47" s="889"/>
      <c r="G47" s="1036"/>
      <c r="H47" s="889"/>
      <c r="I47" s="1036"/>
      <c r="J47" s="889"/>
      <c r="K47" s="1036"/>
      <c r="L47" s="118"/>
      <c r="M47" s="126"/>
      <c r="N47" s="118"/>
      <c r="O47" s="126"/>
      <c r="P47" s="118"/>
      <c r="Q47" s="126"/>
      <c r="R47" s="118"/>
      <c r="S47" s="126"/>
      <c r="T47" s="118"/>
      <c r="U47" s="126"/>
      <c r="V47" s="118"/>
      <c r="W47" s="126"/>
      <c r="X47" s="118"/>
      <c r="Y47" s="126"/>
      <c r="Z47" s="118"/>
      <c r="AA47" s="126"/>
      <c r="AB47" s="118"/>
      <c r="AC47" s="673"/>
      <c r="AD47" s="126"/>
      <c r="AE47" s="1075"/>
      <c r="AF47" s="673"/>
      <c r="AG47" s="126"/>
      <c r="AH47" s="67"/>
      <c r="AI47" s="1098"/>
      <c r="AJ47" s="358"/>
      <c r="AK47" s="1096"/>
      <c r="AL47" s="1078"/>
    </row>
    <row r="48" spans="1:39">
      <c r="A48" s="107"/>
      <c r="B48" s="105" t="s">
        <v>22</v>
      </c>
      <c r="C48" s="107"/>
      <c r="D48" s="107"/>
      <c r="E48" s="889"/>
      <c r="F48" s="889"/>
      <c r="G48" s="889"/>
      <c r="H48" s="889"/>
      <c r="I48" s="889"/>
      <c r="J48" s="889"/>
      <c r="K48" s="889"/>
      <c r="L48" s="118"/>
      <c r="M48" s="118"/>
      <c r="N48" s="118"/>
      <c r="O48" s="118"/>
      <c r="P48" s="118"/>
      <c r="Q48" s="118"/>
      <c r="R48" s="118"/>
      <c r="S48" s="118"/>
      <c r="T48" s="118"/>
      <c r="U48" s="118"/>
      <c r="V48" s="118"/>
      <c r="W48" s="118"/>
      <c r="X48" s="118"/>
      <c r="Y48" s="118"/>
      <c r="Z48" s="118"/>
      <c r="AA48" s="118"/>
      <c r="AB48" s="118"/>
      <c r="AC48" s="673"/>
      <c r="AD48" s="118"/>
      <c r="AE48" s="1075"/>
      <c r="AF48" s="673"/>
      <c r="AG48" s="118"/>
      <c r="AH48" s="118"/>
      <c r="AI48" s="1098"/>
      <c r="AJ48" s="358"/>
      <c r="AK48" s="1096"/>
      <c r="AL48" s="1078"/>
    </row>
    <row r="49" spans="1:41">
      <c r="A49" s="107"/>
      <c r="B49" s="107" t="s">
        <v>150</v>
      </c>
      <c r="C49" s="107"/>
      <c r="D49" s="107"/>
      <c r="E49" s="1532"/>
      <c r="F49" s="889"/>
      <c r="G49" s="889"/>
      <c r="H49" s="889"/>
      <c r="I49" s="889"/>
      <c r="J49" s="889"/>
      <c r="K49" s="889"/>
      <c r="L49" s="118"/>
      <c r="M49" s="118"/>
      <c r="N49" s="118"/>
      <c r="O49" s="118"/>
      <c r="P49" s="118"/>
      <c r="Q49" s="1074"/>
      <c r="R49" s="118"/>
      <c r="S49" s="118"/>
      <c r="T49" s="118"/>
      <c r="U49" s="118"/>
      <c r="V49" s="118"/>
      <c r="W49" s="118"/>
      <c r="X49" s="118"/>
      <c r="Y49" s="118"/>
      <c r="Z49" s="118"/>
      <c r="AA49" s="118"/>
      <c r="AB49" s="118"/>
      <c r="AC49" s="673"/>
      <c r="AD49" s="118"/>
      <c r="AE49" s="1075"/>
      <c r="AF49" s="673"/>
      <c r="AG49" s="118"/>
      <c r="AH49" s="118"/>
      <c r="AI49" s="1098"/>
      <c r="AJ49" s="358"/>
      <c r="AK49" s="1077"/>
      <c r="AL49" s="1078"/>
    </row>
    <row r="50" spans="1:41">
      <c r="A50" s="107"/>
      <c r="B50" s="107" t="s">
        <v>24</v>
      </c>
      <c r="C50" s="107"/>
      <c r="D50" s="107"/>
      <c r="E50" s="1532">
        <f t="shared" ref="E50:E52" si="6">$AD50</f>
        <v>0</v>
      </c>
      <c r="F50" s="889"/>
      <c r="G50" s="1532"/>
      <c r="H50" s="889"/>
      <c r="I50" s="1532"/>
      <c r="J50" s="889"/>
      <c r="K50" s="1532"/>
      <c r="L50" s="889"/>
      <c r="M50" s="1532"/>
      <c r="N50" s="889"/>
      <c r="O50" s="1532"/>
      <c r="P50" s="889"/>
      <c r="Q50" s="1532"/>
      <c r="R50" s="889"/>
      <c r="S50" s="1532"/>
      <c r="T50" s="1532"/>
      <c r="U50" s="1532"/>
      <c r="V50" s="889"/>
      <c r="W50" s="1532"/>
      <c r="X50" s="1532"/>
      <c r="Y50" s="1532"/>
      <c r="Z50" s="889"/>
      <c r="AA50" s="1532"/>
      <c r="AB50" s="889"/>
      <c r="AC50" s="1408"/>
      <c r="AD50" s="1532">
        <v>0</v>
      </c>
      <c r="AE50" s="3195"/>
      <c r="AF50" s="1018"/>
      <c r="AG50" s="1532">
        <v>0</v>
      </c>
      <c r="AH50" s="119"/>
      <c r="AI50" s="1076"/>
      <c r="AJ50" s="1107">
        <f>ROUND(AD50-AG50,1)</f>
        <v>0</v>
      </c>
      <c r="AK50" s="1077"/>
      <c r="AL50" s="1719">
        <f>ROUND(IF(AG50=0,0,AJ50/ABS(AG50)),3)</f>
        <v>0</v>
      </c>
    </row>
    <row r="51" spans="1:41">
      <c r="A51" s="107"/>
      <c r="B51" s="107" t="s">
        <v>25</v>
      </c>
      <c r="C51" s="107"/>
      <c r="D51" s="107"/>
      <c r="E51" s="1532">
        <f t="shared" si="6"/>
        <v>0</v>
      </c>
      <c r="F51" s="889"/>
      <c r="G51" s="1532"/>
      <c r="H51" s="889"/>
      <c r="I51" s="1532"/>
      <c r="J51" s="889"/>
      <c r="K51" s="1532"/>
      <c r="L51" s="889"/>
      <c r="M51" s="1532"/>
      <c r="N51" s="889"/>
      <c r="O51" s="1532"/>
      <c r="P51" s="889"/>
      <c r="Q51" s="1532"/>
      <c r="R51" s="889"/>
      <c r="S51" s="1532"/>
      <c r="T51" s="1532"/>
      <c r="U51" s="1532"/>
      <c r="V51" s="889"/>
      <c r="W51" s="1532"/>
      <c r="X51" s="1532"/>
      <c r="Y51" s="1532"/>
      <c r="Z51" s="889"/>
      <c r="AA51" s="1532"/>
      <c r="AB51" s="889"/>
      <c r="AC51" s="1408"/>
      <c r="AD51" s="1532">
        <v>0</v>
      </c>
      <c r="AE51" s="3195"/>
      <c r="AF51" s="1018"/>
      <c r="AG51" s="1532">
        <v>0</v>
      </c>
      <c r="AH51" s="119"/>
      <c r="AI51" s="1076"/>
      <c r="AJ51" s="1107">
        <f>ROUND(AD51-AG51,1)</f>
        <v>0</v>
      </c>
      <c r="AK51" s="1077"/>
      <c r="AL51" s="1721">
        <f>ROUND(IF(AG51=0,0,AJ51/ABS(AG51)),3)</f>
        <v>0</v>
      </c>
    </row>
    <row r="52" spans="1:41">
      <c r="A52" s="107"/>
      <c r="B52" s="107" t="s">
        <v>26</v>
      </c>
      <c r="C52" s="107"/>
      <c r="D52" s="107"/>
      <c r="E52" s="1532">
        <f t="shared" si="6"/>
        <v>0</v>
      </c>
      <c r="F52" s="889"/>
      <c r="G52" s="1532"/>
      <c r="H52" s="889"/>
      <c r="I52" s="1532"/>
      <c r="J52" s="889"/>
      <c r="K52" s="1532"/>
      <c r="L52" s="889"/>
      <c r="M52" s="1532"/>
      <c r="N52" s="889"/>
      <c r="O52" s="1532"/>
      <c r="P52" s="889"/>
      <c r="Q52" s="1532"/>
      <c r="R52" s="889"/>
      <c r="S52" s="1532"/>
      <c r="T52" s="1532"/>
      <c r="U52" s="1532"/>
      <c r="V52" s="889"/>
      <c r="W52" s="1532"/>
      <c r="X52" s="1532"/>
      <c r="Y52" s="1532"/>
      <c r="Z52" s="889"/>
      <c r="AA52" s="1532"/>
      <c r="AB52" s="889"/>
      <c r="AC52" s="1408"/>
      <c r="AD52" s="1532">
        <v>0</v>
      </c>
      <c r="AE52" s="3195"/>
      <c r="AF52" s="1018"/>
      <c r="AG52" s="1532">
        <v>0</v>
      </c>
      <c r="AH52" s="119"/>
      <c r="AI52" s="1076"/>
      <c r="AJ52" s="1107">
        <f>ROUND(AD52-AG52,1)</f>
        <v>0</v>
      </c>
      <c r="AK52" s="1096"/>
      <c r="AL52" s="1719">
        <f>ROUND(IF(AG52=0,0,AJ52/ABS(AG52)),3)</f>
        <v>0</v>
      </c>
    </row>
    <row r="53" spans="1:41">
      <c r="A53" s="107"/>
      <c r="B53" s="107" t="s">
        <v>27</v>
      </c>
      <c r="C53" s="107"/>
      <c r="D53" s="107"/>
      <c r="E53" s="1532" t="s">
        <v>14</v>
      </c>
      <c r="F53" s="889"/>
      <c r="G53" s="1532"/>
      <c r="H53" s="889"/>
      <c r="I53" s="1532"/>
      <c r="J53" s="889"/>
      <c r="K53" s="1532"/>
      <c r="L53" s="889"/>
      <c r="M53" s="1532"/>
      <c r="N53" s="889"/>
      <c r="O53" s="1532"/>
      <c r="P53" s="889"/>
      <c r="Q53" s="1532"/>
      <c r="R53" s="889"/>
      <c r="S53" s="1532"/>
      <c r="T53" s="1532"/>
      <c r="U53" s="1532"/>
      <c r="V53" s="889"/>
      <c r="W53" s="1532"/>
      <c r="X53" s="1532"/>
      <c r="Y53" s="1532"/>
      <c r="Z53" s="889"/>
      <c r="AA53" s="1532"/>
      <c r="AB53" s="889"/>
      <c r="AC53" s="1408"/>
      <c r="AD53" s="1532"/>
      <c r="AE53" s="3195"/>
      <c r="AF53" s="1018"/>
      <c r="AG53" s="1532"/>
      <c r="AH53" s="118"/>
      <c r="AI53" s="1098"/>
      <c r="AJ53" s="1108"/>
      <c r="AK53" s="1077"/>
      <c r="AL53" s="1722" t="s">
        <v>14</v>
      </c>
    </row>
    <row r="54" spans="1:41">
      <c r="A54" s="107"/>
      <c r="B54" s="107" t="s">
        <v>28</v>
      </c>
      <c r="C54" s="105"/>
      <c r="D54" s="107"/>
      <c r="E54" s="1532">
        <f t="shared" ref="E54:E59" si="7">$AD54</f>
        <v>0</v>
      </c>
      <c r="F54" s="889"/>
      <c r="G54" s="1532"/>
      <c r="H54" s="889"/>
      <c r="I54" s="1532"/>
      <c r="J54" s="889"/>
      <c r="K54" s="1532"/>
      <c r="L54" s="889"/>
      <c r="M54" s="1532"/>
      <c r="N54" s="889"/>
      <c r="O54" s="1532"/>
      <c r="P54" s="889"/>
      <c r="Q54" s="1532"/>
      <c r="R54" s="889"/>
      <c r="S54" s="1532"/>
      <c r="T54" s="1532"/>
      <c r="U54" s="1532"/>
      <c r="V54" s="889"/>
      <c r="W54" s="1532"/>
      <c r="X54" s="1532"/>
      <c r="Y54" s="1532"/>
      <c r="Z54" s="889"/>
      <c r="AA54" s="1532"/>
      <c r="AB54" s="889"/>
      <c r="AC54" s="1408"/>
      <c r="AD54" s="1532">
        <v>0</v>
      </c>
      <c r="AE54" s="3195"/>
      <c r="AF54" s="1018"/>
      <c r="AG54" s="1532">
        <v>0</v>
      </c>
      <c r="AH54" s="118"/>
      <c r="AI54" s="1098"/>
      <c r="AJ54" s="1107">
        <f t="shared" ref="AJ54:AJ59" si="8">ROUND(AD54-AG54,1)</f>
        <v>0</v>
      </c>
      <c r="AK54" s="1096"/>
      <c r="AL54" s="1719">
        <f>ROUND(IF(AG54=0,0,AJ54/ABS(AG54)),3)</f>
        <v>0</v>
      </c>
      <c r="AM54" s="1096"/>
    </row>
    <row r="55" spans="1:41">
      <c r="A55" s="107"/>
      <c r="B55" s="107" t="s">
        <v>29</v>
      </c>
      <c r="C55" s="107"/>
      <c r="D55" s="107"/>
      <c r="E55" s="1532">
        <f t="shared" si="7"/>
        <v>0</v>
      </c>
      <c r="F55" s="889"/>
      <c r="G55" s="1532"/>
      <c r="H55" s="889"/>
      <c r="I55" s="1532"/>
      <c r="J55" s="889"/>
      <c r="K55" s="1532"/>
      <c r="L55" s="889"/>
      <c r="M55" s="1532"/>
      <c r="N55" s="889"/>
      <c r="O55" s="1532"/>
      <c r="P55" s="889"/>
      <c r="Q55" s="1532"/>
      <c r="R55" s="889"/>
      <c r="S55" s="1532"/>
      <c r="T55" s="1532"/>
      <c r="U55" s="1532"/>
      <c r="V55" s="889"/>
      <c r="W55" s="1532"/>
      <c r="X55" s="1532"/>
      <c r="Y55" s="1532"/>
      <c r="Z55" s="889"/>
      <c r="AA55" s="1532"/>
      <c r="AB55" s="889"/>
      <c r="AC55" s="1408"/>
      <c r="AD55" s="1532">
        <v>0</v>
      </c>
      <c r="AE55" s="3195"/>
      <c r="AF55" s="1018"/>
      <c r="AG55" s="1532">
        <v>0</v>
      </c>
      <c r="AH55" s="119"/>
      <c r="AI55" s="1076"/>
      <c r="AJ55" s="1107">
        <f t="shared" si="8"/>
        <v>0</v>
      </c>
      <c r="AK55" s="1077"/>
      <c r="AL55" s="2188">
        <f>ROUND(IF(AG55=0,0,AJ55/ABS(AG55)),3)</f>
        <v>0</v>
      </c>
    </row>
    <row r="56" spans="1:41">
      <c r="A56" s="107"/>
      <c r="B56" s="107" t="s">
        <v>30</v>
      </c>
      <c r="C56" s="107"/>
      <c r="D56" s="107"/>
      <c r="E56" s="1532">
        <f t="shared" si="7"/>
        <v>0</v>
      </c>
      <c r="F56" s="889"/>
      <c r="G56" s="1532"/>
      <c r="H56" s="889"/>
      <c r="I56" s="1532"/>
      <c r="J56" s="889"/>
      <c r="K56" s="1532"/>
      <c r="L56" s="889"/>
      <c r="M56" s="1532"/>
      <c r="N56" s="889"/>
      <c r="O56" s="1532"/>
      <c r="P56" s="889"/>
      <c r="Q56" s="1532"/>
      <c r="R56" s="889"/>
      <c r="S56" s="1532"/>
      <c r="T56" s="1532"/>
      <c r="U56" s="1532"/>
      <c r="V56" s="889"/>
      <c r="W56" s="1532"/>
      <c r="X56" s="1532"/>
      <c r="Y56" s="1532"/>
      <c r="Z56" s="889"/>
      <c r="AA56" s="1532"/>
      <c r="AB56" s="889"/>
      <c r="AC56" s="1408"/>
      <c r="AD56" s="1532">
        <v>0</v>
      </c>
      <c r="AE56" s="3195"/>
      <c r="AF56" s="1018"/>
      <c r="AG56" s="1532">
        <v>0</v>
      </c>
      <c r="AH56" s="119"/>
      <c r="AI56" s="1076"/>
      <c r="AJ56" s="1107">
        <f t="shared" si="8"/>
        <v>0</v>
      </c>
      <c r="AK56" s="1096"/>
      <c r="AL56" s="2188">
        <f>ROUND(IF(AG56=0,0,AJ56/ABS(AG56)),3)</f>
        <v>0</v>
      </c>
    </row>
    <row r="57" spans="1:41">
      <c r="A57" s="107"/>
      <c r="B57" s="107" t="s">
        <v>31</v>
      </c>
      <c r="C57" s="107"/>
      <c r="D57" s="107"/>
      <c r="E57" s="1532">
        <f t="shared" si="7"/>
        <v>0</v>
      </c>
      <c r="F57" s="889"/>
      <c r="G57" s="1532"/>
      <c r="H57" s="889"/>
      <c r="I57" s="1532"/>
      <c r="J57" s="889"/>
      <c r="K57" s="1532"/>
      <c r="L57" s="889"/>
      <c r="M57" s="1532"/>
      <c r="N57" s="889"/>
      <c r="O57" s="1532"/>
      <c r="P57" s="889"/>
      <c r="Q57" s="1532"/>
      <c r="R57" s="889"/>
      <c r="S57" s="1532"/>
      <c r="T57" s="1532"/>
      <c r="U57" s="1532"/>
      <c r="V57" s="889"/>
      <c r="W57" s="1532"/>
      <c r="X57" s="1532"/>
      <c r="Y57" s="1532"/>
      <c r="Z57" s="889"/>
      <c r="AA57" s="1532"/>
      <c r="AB57" s="889"/>
      <c r="AC57" s="1408"/>
      <c r="AD57" s="1532">
        <v>0</v>
      </c>
      <c r="AE57" s="3195"/>
      <c r="AF57" s="1018"/>
      <c r="AG57" s="1532">
        <v>0</v>
      </c>
      <c r="AH57" s="118"/>
      <c r="AI57" s="1098"/>
      <c r="AJ57" s="1107">
        <f t="shared" si="8"/>
        <v>0</v>
      </c>
      <c r="AK57" s="1077"/>
      <c r="AL57" s="1719">
        <f>ROUND(IF(AG57=0,0,AJ57/ABS(AG57)),3)</f>
        <v>0</v>
      </c>
    </row>
    <row r="58" spans="1:41">
      <c r="A58" s="107"/>
      <c r="B58" s="107" t="s">
        <v>32</v>
      </c>
      <c r="C58" s="105"/>
      <c r="D58" s="107"/>
      <c r="E58" s="1532">
        <f t="shared" si="7"/>
        <v>0</v>
      </c>
      <c r="F58" s="889"/>
      <c r="G58" s="1532"/>
      <c r="H58" s="889"/>
      <c r="I58" s="1532"/>
      <c r="J58" s="889"/>
      <c r="K58" s="1532"/>
      <c r="L58" s="889"/>
      <c r="M58" s="1532"/>
      <c r="N58" s="889"/>
      <c r="O58" s="1532"/>
      <c r="P58" s="889"/>
      <c r="Q58" s="1532"/>
      <c r="R58" s="889"/>
      <c r="S58" s="1532"/>
      <c r="T58" s="1532"/>
      <c r="U58" s="1532"/>
      <c r="V58" s="889"/>
      <c r="W58" s="1532"/>
      <c r="X58" s="1532"/>
      <c r="Y58" s="1532"/>
      <c r="Z58" s="889"/>
      <c r="AA58" s="1532"/>
      <c r="AB58" s="889"/>
      <c r="AC58" s="1408"/>
      <c r="AD58" s="1532">
        <v>0</v>
      </c>
      <c r="AE58" s="3195"/>
      <c r="AF58" s="1018"/>
      <c r="AG58" s="1532">
        <v>0</v>
      </c>
      <c r="AH58" s="118"/>
      <c r="AI58" s="1098"/>
      <c r="AJ58" s="1107">
        <f t="shared" si="8"/>
        <v>0</v>
      </c>
      <c r="AK58" s="1096"/>
      <c r="AL58" s="1719">
        <f>ROUND(IF(AG58=0,0,AJ58/ABS(AG58)),3)</f>
        <v>0</v>
      </c>
      <c r="AM58" s="1096"/>
    </row>
    <row r="59" spans="1:41">
      <c r="A59" s="107"/>
      <c r="B59" s="107" t="s">
        <v>33</v>
      </c>
      <c r="C59" s="107"/>
      <c r="D59" s="107"/>
      <c r="E59" s="1532">
        <f t="shared" si="7"/>
        <v>5.9</v>
      </c>
      <c r="F59" s="889"/>
      <c r="G59" s="1532"/>
      <c r="H59" s="889"/>
      <c r="I59" s="1532"/>
      <c r="J59" s="889"/>
      <c r="K59" s="1532"/>
      <c r="L59" s="889"/>
      <c r="M59" s="1532"/>
      <c r="N59" s="889"/>
      <c r="O59" s="1532"/>
      <c r="P59" s="889"/>
      <c r="Q59" s="1532"/>
      <c r="R59" s="889"/>
      <c r="S59" s="1532"/>
      <c r="T59" s="1532"/>
      <c r="U59" s="1532"/>
      <c r="V59" s="889"/>
      <c r="W59" s="1532"/>
      <c r="X59" s="1532"/>
      <c r="Y59" s="1532"/>
      <c r="Z59" s="889"/>
      <c r="AA59" s="1532"/>
      <c r="AB59" s="889"/>
      <c r="AC59" s="1408"/>
      <c r="AD59" s="1532">
        <v>5.9</v>
      </c>
      <c r="AE59" s="3195"/>
      <c r="AF59" s="1018"/>
      <c r="AG59" s="1532">
        <v>22</v>
      </c>
      <c r="AH59" s="67"/>
      <c r="AI59" s="1098"/>
      <c r="AJ59" s="1107">
        <f t="shared" si="8"/>
        <v>-16.100000000000001</v>
      </c>
      <c r="AK59" s="1096"/>
      <c r="AL59" s="1723">
        <f>ROUND((AD59-AG59)/ABS(AG59),3)</f>
        <v>-0.73199999999999998</v>
      </c>
    </row>
    <row r="60" spans="1:41">
      <c r="A60" s="107"/>
      <c r="B60" s="105" t="s">
        <v>196</v>
      </c>
      <c r="C60" s="107"/>
      <c r="D60" s="107"/>
      <c r="E60" s="1090">
        <f>ROUND(SUM(E50:E59),1)</f>
        <v>5.9</v>
      </c>
      <c r="F60" s="112"/>
      <c r="G60" s="1090">
        <f>ROUND(SUM(G50:G59),1)</f>
        <v>0</v>
      </c>
      <c r="H60" s="112"/>
      <c r="I60" s="1090">
        <f>ROUND(SUM(I50:I59),1)</f>
        <v>0</v>
      </c>
      <c r="J60" s="112"/>
      <c r="K60" s="1090">
        <f>ROUND(SUM(K50:K59),1)</f>
        <v>0</v>
      </c>
      <c r="L60" s="112"/>
      <c r="M60" s="1090">
        <f>ROUND(SUM(M50:M59),1)</f>
        <v>0</v>
      </c>
      <c r="N60" s="112"/>
      <c r="O60" s="1090">
        <f>ROUND(SUM(O50:O59),1)</f>
        <v>0</v>
      </c>
      <c r="P60" s="112"/>
      <c r="Q60" s="1090">
        <f>ROUND(SUM(Q50:Q59),1)</f>
        <v>0</v>
      </c>
      <c r="R60" s="112"/>
      <c r="S60" s="1090">
        <f>ROUND(SUM(S50:S59),1)</f>
        <v>0</v>
      </c>
      <c r="T60" s="112"/>
      <c r="U60" s="1090">
        <f>ROUND(SUM(U50:U59),1)</f>
        <v>0</v>
      </c>
      <c r="V60" s="112"/>
      <c r="W60" s="1090">
        <f>ROUND(SUM(W50:W59),1)</f>
        <v>0</v>
      </c>
      <c r="X60" s="112"/>
      <c r="Y60" s="1090">
        <f>ROUND(SUM(Y50:Y59),1)</f>
        <v>0</v>
      </c>
      <c r="Z60" s="112"/>
      <c r="AA60" s="1090">
        <f>ROUND(SUM(AA50:AA59),1)</f>
        <v>0</v>
      </c>
      <c r="AB60" s="112"/>
      <c r="AC60" s="674"/>
      <c r="AD60" s="1090">
        <f>ROUND(SUM(AD50:AD59),1)</f>
        <v>5.9</v>
      </c>
      <c r="AE60" s="1080"/>
      <c r="AF60" s="674"/>
      <c r="AG60" s="1090">
        <f>ROUND(SUM(AG50:AG59),1)</f>
        <v>22</v>
      </c>
      <c r="AH60" s="115"/>
      <c r="AI60" s="1098"/>
      <c r="AJ60" s="1090">
        <f>ROUND(SUM(AJ50:AJ59),1)</f>
        <v>-16.100000000000001</v>
      </c>
      <c r="AK60" s="3688"/>
      <c r="AL60" s="3689">
        <f>ROUND(SUM(AD60-AG60)/ABS(AG60),3)</f>
        <v>-0.73199999999999998</v>
      </c>
      <c r="AM60" s="3688"/>
      <c r="AN60" s="3685"/>
      <c r="AO60" s="3685"/>
    </row>
    <row r="61" spans="1:41">
      <c r="A61" s="107"/>
      <c r="B61" s="107" t="s">
        <v>197</v>
      </c>
      <c r="C61" s="107"/>
      <c r="D61" s="107"/>
      <c r="E61" s="889"/>
      <c r="F61" s="889"/>
      <c r="G61" s="889"/>
      <c r="H61" s="889"/>
      <c r="I61" s="889"/>
      <c r="J61" s="889"/>
      <c r="K61" s="889"/>
      <c r="L61" s="118"/>
      <c r="M61" s="118"/>
      <c r="N61" s="118"/>
      <c r="O61" s="118"/>
      <c r="P61" s="118"/>
      <c r="Q61" s="118"/>
      <c r="R61" s="118"/>
      <c r="S61" s="118"/>
      <c r="T61" s="118"/>
      <c r="U61" s="118"/>
      <c r="V61" s="118"/>
      <c r="W61" s="118"/>
      <c r="X61" s="118"/>
      <c r="Y61" s="118"/>
      <c r="Z61" s="118"/>
      <c r="AA61" s="118"/>
      <c r="AB61" s="118"/>
      <c r="AC61" s="673"/>
      <c r="AD61" s="118"/>
      <c r="AE61" s="1075"/>
      <c r="AF61" s="673"/>
      <c r="AG61" s="118"/>
      <c r="AH61" s="118"/>
      <c r="AI61" s="1098"/>
      <c r="AJ61" s="358"/>
      <c r="AK61" s="1096"/>
      <c r="AL61" s="1078"/>
    </row>
    <row r="62" spans="1:41">
      <c r="A62" s="107"/>
      <c r="B62" s="107" t="s">
        <v>198</v>
      </c>
      <c r="C62" s="107"/>
      <c r="D62" s="107"/>
      <c r="E62" s="1532">
        <f t="shared" ref="E62:E65" si="9">$AD62</f>
        <v>0</v>
      </c>
      <c r="F62" s="889"/>
      <c r="G62" s="1532"/>
      <c r="H62" s="889"/>
      <c r="I62" s="1532"/>
      <c r="J62" s="889"/>
      <c r="K62" s="1532"/>
      <c r="L62" s="889"/>
      <c r="M62" s="1532"/>
      <c r="N62" s="889"/>
      <c r="O62" s="1532"/>
      <c r="P62" s="889"/>
      <c r="Q62" s="1532"/>
      <c r="R62" s="889"/>
      <c r="S62" s="1532"/>
      <c r="T62" s="1532"/>
      <c r="U62" s="1532"/>
      <c r="V62" s="889"/>
      <c r="W62" s="1532"/>
      <c r="X62" s="889"/>
      <c r="Y62" s="1532"/>
      <c r="Z62" s="889"/>
      <c r="AA62" s="1532"/>
      <c r="AB62" s="889"/>
      <c r="AC62" s="1408"/>
      <c r="AD62" s="1532">
        <v>0</v>
      </c>
      <c r="AE62" s="3195"/>
      <c r="AF62" s="1018"/>
      <c r="AG62" s="1532">
        <v>0</v>
      </c>
      <c r="AH62" s="127"/>
      <c r="AI62" s="1102"/>
      <c r="AJ62" s="1107">
        <f>ROUND(AD62-AG62,1)</f>
        <v>0</v>
      </c>
      <c r="AK62" s="1096"/>
      <c r="AL62" s="1719">
        <f>ROUND(IF(AG62=0,0,AJ62/ABS(AG62)),3)</f>
        <v>0</v>
      </c>
      <c r="AM62" s="1097"/>
    </row>
    <row r="63" spans="1:41">
      <c r="A63" s="107"/>
      <c r="B63" s="107" t="s">
        <v>199</v>
      </c>
      <c r="C63" s="107"/>
      <c r="D63" s="107"/>
      <c r="E63" s="1532">
        <f t="shared" si="9"/>
        <v>0</v>
      </c>
      <c r="F63" s="889"/>
      <c r="G63" s="1532"/>
      <c r="H63" s="889"/>
      <c r="I63" s="1532"/>
      <c r="J63" s="889"/>
      <c r="K63" s="1532"/>
      <c r="L63" s="889"/>
      <c r="M63" s="1532"/>
      <c r="N63" s="889"/>
      <c r="O63" s="1532"/>
      <c r="P63" s="889"/>
      <c r="Q63" s="1532"/>
      <c r="R63" s="889"/>
      <c r="S63" s="1532"/>
      <c r="T63" s="1532"/>
      <c r="U63" s="1532"/>
      <c r="V63" s="889"/>
      <c r="W63" s="1532"/>
      <c r="X63" s="889"/>
      <c r="Y63" s="1532"/>
      <c r="Z63" s="889"/>
      <c r="AA63" s="1532"/>
      <c r="AB63" s="889"/>
      <c r="AC63" s="1408"/>
      <c r="AD63" s="1532">
        <v>0</v>
      </c>
      <c r="AE63" s="3195"/>
      <c r="AF63" s="1018"/>
      <c r="AG63" s="1532">
        <v>0</v>
      </c>
      <c r="AH63" s="127"/>
      <c r="AI63" s="1102"/>
      <c r="AJ63" s="1107">
        <f>ROUND(AD63-AG63,1)</f>
        <v>0</v>
      </c>
      <c r="AK63" s="1096"/>
      <c r="AL63" s="1719">
        <f>ROUND(IF(AG63=0,0,AJ63/ABS(AG63)),3)</f>
        <v>0</v>
      </c>
    </row>
    <row r="64" spans="1:41">
      <c r="A64" s="107"/>
      <c r="B64" s="107" t="s">
        <v>200</v>
      </c>
      <c r="C64" s="107"/>
      <c r="D64" s="107"/>
      <c r="E64" s="1532">
        <f t="shared" si="9"/>
        <v>0</v>
      </c>
      <c r="F64" s="889"/>
      <c r="G64" s="1532"/>
      <c r="H64" s="889"/>
      <c r="I64" s="1532"/>
      <c r="J64" s="889"/>
      <c r="K64" s="1532"/>
      <c r="L64" s="889"/>
      <c r="M64" s="1532"/>
      <c r="N64" s="889"/>
      <c r="O64" s="1532"/>
      <c r="P64" s="889"/>
      <c r="Q64" s="1532"/>
      <c r="R64" s="889"/>
      <c r="S64" s="1532"/>
      <c r="T64" s="1532"/>
      <c r="U64" s="1532"/>
      <c r="V64" s="889"/>
      <c r="W64" s="1532"/>
      <c r="X64" s="889"/>
      <c r="Y64" s="1532"/>
      <c r="Z64" s="889"/>
      <c r="AA64" s="1532"/>
      <c r="AB64" s="889"/>
      <c r="AC64" s="1408"/>
      <c r="AD64" s="1532">
        <v>0</v>
      </c>
      <c r="AE64" s="3195"/>
      <c r="AF64" s="1018"/>
      <c r="AG64" s="1532">
        <v>0</v>
      </c>
      <c r="AH64" s="127"/>
      <c r="AI64" s="1102"/>
      <c r="AJ64" s="1107">
        <f>ROUND(AD64-AG64,1)</f>
        <v>0</v>
      </c>
      <c r="AK64" s="1096"/>
      <c r="AL64" s="1719">
        <f>ROUND(IF(AG64=0,0,AJ64/ABS(AG64)),3)</f>
        <v>0</v>
      </c>
    </row>
    <row r="65" spans="1:39">
      <c r="A65" s="107"/>
      <c r="B65" s="1718" t="s">
        <v>211</v>
      </c>
      <c r="C65" s="107"/>
      <c r="D65" s="107"/>
      <c r="E65" s="1532">
        <f t="shared" si="9"/>
        <v>47.1</v>
      </c>
      <c r="F65" s="889"/>
      <c r="G65" s="1532"/>
      <c r="H65" s="889"/>
      <c r="I65" s="1532"/>
      <c r="J65" s="889"/>
      <c r="K65" s="1532"/>
      <c r="L65" s="889"/>
      <c r="M65" s="1532"/>
      <c r="N65" s="889"/>
      <c r="O65" s="1532"/>
      <c r="P65" s="889"/>
      <c r="Q65" s="1532"/>
      <c r="R65" s="889"/>
      <c r="S65" s="1532"/>
      <c r="T65" s="1532"/>
      <c r="U65" s="1532"/>
      <c r="V65" s="889"/>
      <c r="W65" s="1532"/>
      <c r="X65" s="889"/>
      <c r="Y65" s="1532"/>
      <c r="Z65" s="889"/>
      <c r="AA65" s="1532"/>
      <c r="AB65" s="889"/>
      <c r="AC65" s="1408"/>
      <c r="AD65" s="3196">
        <v>47.1</v>
      </c>
      <c r="AE65" s="3195"/>
      <c r="AF65" s="1018"/>
      <c r="AG65" s="3196">
        <v>57.7</v>
      </c>
      <c r="AH65" s="70"/>
      <c r="AI65" s="1076"/>
      <c r="AJ65" s="1109">
        <f>ROUND(AD65-AG65,1)</f>
        <v>-10.6</v>
      </c>
      <c r="AK65" s="1096"/>
      <c r="AL65" s="1720">
        <f>ROUND(IF(AG65=0,0,AJ65/ABS(AG65)),3)</f>
        <v>-0.184</v>
      </c>
    </row>
    <row r="66" spans="1:39">
      <c r="A66" s="107"/>
      <c r="B66" s="107"/>
      <c r="C66" s="107"/>
      <c r="D66" s="107"/>
      <c r="E66" s="1036"/>
      <c r="F66" s="889"/>
      <c r="G66" s="1036"/>
      <c r="H66" s="889"/>
      <c r="I66" s="1036"/>
      <c r="J66" s="889"/>
      <c r="K66" s="1036"/>
      <c r="L66" s="118"/>
      <c r="M66" s="126"/>
      <c r="N66" s="118"/>
      <c r="O66" s="126"/>
      <c r="P66" s="118"/>
      <c r="Q66" s="126"/>
      <c r="R66" s="118"/>
      <c r="S66" s="126"/>
      <c r="T66" s="118"/>
      <c r="U66" s="126"/>
      <c r="V66" s="118"/>
      <c r="W66" s="126"/>
      <c r="X66" s="118"/>
      <c r="Y66" s="126"/>
      <c r="Z66" s="118"/>
      <c r="AA66" s="126"/>
      <c r="AB66" s="118"/>
      <c r="AC66" s="673"/>
      <c r="AD66" s="358"/>
      <c r="AE66" s="1075"/>
      <c r="AF66" s="673"/>
      <c r="AG66" s="358"/>
      <c r="AH66" s="358"/>
      <c r="AI66" s="1103"/>
      <c r="AJ66" s="358"/>
      <c r="AK66" s="1096"/>
      <c r="AL66" s="1078"/>
    </row>
    <row r="67" spans="1:39">
      <c r="A67" s="107"/>
      <c r="B67" s="105" t="s">
        <v>201</v>
      </c>
      <c r="C67" s="107"/>
      <c r="D67" s="107"/>
      <c r="E67" s="112">
        <f>ROUND(SUM(E60:E65),1)</f>
        <v>53</v>
      </c>
      <c r="F67" s="112"/>
      <c r="G67" s="112">
        <f>ROUND(SUM(G60:G65),1)</f>
        <v>0</v>
      </c>
      <c r="H67" s="112"/>
      <c r="I67" s="112">
        <f>ROUND(SUM(I60:I65),1)</f>
        <v>0</v>
      </c>
      <c r="J67" s="112"/>
      <c r="K67" s="112">
        <f>ROUND(SUM(K60:K65),1)</f>
        <v>0</v>
      </c>
      <c r="L67" s="112"/>
      <c r="M67" s="112">
        <f>ROUND(SUM(M60:M65),1)</f>
        <v>0</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74"/>
      <c r="AD67" s="112">
        <f>SUM(AD60:AD65)</f>
        <v>53</v>
      </c>
      <c r="AE67" s="1080"/>
      <c r="AF67" s="674"/>
      <c r="AG67" s="112">
        <f>SUM(AG60:AG65)</f>
        <v>79.7</v>
      </c>
      <c r="AH67" s="115"/>
      <c r="AI67" s="1098"/>
      <c r="AJ67" s="113">
        <f>ROUND(AD67-AG67,1)</f>
        <v>-26.7</v>
      </c>
      <c r="AK67" s="3688"/>
      <c r="AL67" s="3687">
        <f>ROUND(SUM(AD67-AG67)/ABS(AG67),3)</f>
        <v>-0.33500000000000002</v>
      </c>
    </row>
    <row r="68" spans="1:39">
      <c r="A68" s="107"/>
      <c r="B68" s="107"/>
      <c r="C68" s="107"/>
      <c r="D68" s="107"/>
      <c r="E68" s="1036"/>
      <c r="F68" s="889"/>
      <c r="G68" s="1036"/>
      <c r="H68" s="889"/>
      <c r="I68" s="1036"/>
      <c r="J68" s="889"/>
      <c r="K68" s="1036"/>
      <c r="L68" s="118"/>
      <c r="M68" s="126"/>
      <c r="N68" s="118"/>
      <c r="O68" s="126"/>
      <c r="P68" s="118"/>
      <c r="Q68" s="126"/>
      <c r="R68" s="118"/>
      <c r="S68" s="126"/>
      <c r="T68" s="118"/>
      <c r="U68" s="126"/>
      <c r="V68" s="118"/>
      <c r="W68" s="126"/>
      <c r="X68" s="118"/>
      <c r="Y68" s="126"/>
      <c r="Z68" s="118"/>
      <c r="AA68" s="126"/>
      <c r="AB68" s="118"/>
      <c r="AC68" s="673"/>
      <c r="AD68" s="1036" t="s">
        <v>14</v>
      </c>
      <c r="AE68" s="1075"/>
      <c r="AF68" s="673"/>
      <c r="AG68" s="126"/>
      <c r="AH68" s="67"/>
      <c r="AI68" s="1098"/>
      <c r="AJ68" s="358"/>
      <c r="AK68" s="1096"/>
      <c r="AL68" s="1078"/>
    </row>
    <row r="69" spans="1:39">
      <c r="A69" s="107"/>
      <c r="B69" s="105" t="s">
        <v>202</v>
      </c>
      <c r="C69" s="107"/>
      <c r="D69" s="107"/>
      <c r="E69" s="889"/>
      <c r="F69" s="889"/>
      <c r="G69" s="889"/>
      <c r="H69" s="889"/>
      <c r="I69" s="889"/>
      <c r="J69" s="889"/>
      <c r="K69" s="889"/>
      <c r="L69" s="118"/>
      <c r="M69" s="118"/>
      <c r="N69" s="118"/>
      <c r="O69" s="118"/>
      <c r="P69" s="118"/>
      <c r="Q69" s="118"/>
      <c r="R69" s="118"/>
      <c r="S69" s="118"/>
      <c r="T69" s="118"/>
      <c r="U69" s="118"/>
      <c r="V69" s="118"/>
      <c r="W69" s="118"/>
      <c r="X69" s="118"/>
      <c r="Y69" s="118"/>
      <c r="Z69" s="118"/>
      <c r="AA69" s="118"/>
      <c r="AB69" s="118"/>
      <c r="AC69" s="673"/>
      <c r="AD69" s="358" t="s">
        <v>14</v>
      </c>
      <c r="AE69" s="1075"/>
      <c r="AF69" s="67"/>
      <c r="AG69" s="358"/>
      <c r="AH69" s="358"/>
      <c r="AI69" s="1103"/>
      <c r="AJ69" s="358"/>
      <c r="AK69" s="1096"/>
      <c r="AL69" s="1078"/>
    </row>
    <row r="70" spans="1:39">
      <c r="A70" s="107"/>
      <c r="B70" s="105" t="s">
        <v>203</v>
      </c>
      <c r="C70" s="107"/>
      <c r="D70" s="107"/>
      <c r="E70" s="112">
        <f>ROUND(E46-E67,1)</f>
        <v>-47.4</v>
      </c>
      <c r="F70" s="112"/>
      <c r="G70" s="112">
        <f>ROUND(G46-G67,1)</f>
        <v>0</v>
      </c>
      <c r="H70" s="112"/>
      <c r="I70" s="112">
        <f>ROUND(I46-I67,1)</f>
        <v>0</v>
      </c>
      <c r="J70" s="112"/>
      <c r="K70" s="112">
        <f>ROUND(K46-K67,1)</f>
        <v>0</v>
      </c>
      <c r="L70" s="112"/>
      <c r="M70" s="112">
        <f>ROUND(M46-M67,1)</f>
        <v>0</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74"/>
      <c r="AD70" s="112">
        <f>ROUND(SUM(AD46-AD67),1)</f>
        <v>-47.4</v>
      </c>
      <c r="AE70" s="1080"/>
      <c r="AF70" s="674"/>
      <c r="AG70" s="112">
        <f>ROUND(SUM(AG46-AG67),1)</f>
        <v>6.1</v>
      </c>
      <c r="AH70" s="115"/>
      <c r="AI70" s="1098"/>
      <c r="AJ70" s="113">
        <f>ROUND(AD70-AG70,1)</f>
        <v>-53.5</v>
      </c>
      <c r="AK70" s="3688"/>
      <c r="AL70" s="3650">
        <f>ROUND(SUM(AD70-AG70)/ABS(AG70),3)</f>
        <v>-8.77</v>
      </c>
    </row>
    <row r="71" spans="1:39">
      <c r="A71" s="107"/>
      <c r="B71" s="107"/>
      <c r="C71" s="107"/>
      <c r="D71" s="107"/>
      <c r="E71" s="1036"/>
      <c r="F71" s="889"/>
      <c r="G71" s="1036"/>
      <c r="H71" s="889"/>
      <c r="I71" s="1036"/>
      <c r="J71" s="889"/>
      <c r="K71" s="1036"/>
      <c r="L71" s="118"/>
      <c r="M71" s="126"/>
      <c r="N71" s="118"/>
      <c r="O71" s="126"/>
      <c r="P71" s="118"/>
      <c r="Q71" s="126"/>
      <c r="R71" s="118"/>
      <c r="S71" s="126"/>
      <c r="T71" s="118"/>
      <c r="U71" s="126"/>
      <c r="V71" s="118"/>
      <c r="W71" s="126"/>
      <c r="X71" s="118"/>
      <c r="Y71" s="126"/>
      <c r="Z71" s="118"/>
      <c r="AA71" s="126"/>
      <c r="AB71" s="118"/>
      <c r="AC71" s="673"/>
      <c r="AD71" s="126"/>
      <c r="AE71" s="1075"/>
      <c r="AF71" s="673"/>
      <c r="AG71" s="126"/>
      <c r="AH71" s="67"/>
      <c r="AI71" s="1098"/>
      <c r="AJ71" s="358"/>
      <c r="AK71" s="1096"/>
      <c r="AL71" s="1078"/>
    </row>
    <row r="72" spans="1:39">
      <c r="A72" s="107"/>
      <c r="B72" s="105" t="s">
        <v>204</v>
      </c>
      <c r="C72" s="107"/>
      <c r="D72" s="107"/>
      <c r="E72" s="889"/>
      <c r="F72" s="889"/>
      <c r="G72" s="889"/>
      <c r="H72" s="889"/>
      <c r="I72" s="889"/>
      <c r="J72" s="889"/>
      <c r="K72" s="889"/>
      <c r="L72" s="118"/>
      <c r="M72" s="118"/>
      <c r="N72" s="118"/>
      <c r="O72" s="118"/>
      <c r="P72" s="118"/>
      <c r="Q72" s="118"/>
      <c r="R72" s="118"/>
      <c r="S72" s="118"/>
      <c r="T72" s="118"/>
      <c r="U72" s="118"/>
      <c r="V72" s="118"/>
      <c r="W72" s="118" t="s">
        <v>14</v>
      </c>
      <c r="X72" s="118"/>
      <c r="Y72" s="118"/>
      <c r="Z72" s="118"/>
      <c r="AA72" s="118"/>
      <c r="AB72" s="118"/>
      <c r="AC72" s="673"/>
      <c r="AD72" s="127"/>
      <c r="AE72" s="1075"/>
      <c r="AF72" s="673"/>
      <c r="AG72" s="127"/>
      <c r="AH72" s="127"/>
      <c r="AI72" s="1102"/>
      <c r="AJ72" s="358"/>
      <c r="AK72" s="1096"/>
      <c r="AL72" s="1078"/>
    </row>
    <row r="73" spans="1:39">
      <c r="A73" s="107"/>
      <c r="B73" s="1718" t="s">
        <v>212</v>
      </c>
      <c r="C73" s="107"/>
      <c r="D73" s="107"/>
      <c r="E73" s="1532">
        <f t="shared" ref="E73:E74" si="10">$AD73</f>
        <v>0</v>
      </c>
      <c r="F73" s="889"/>
      <c r="G73" s="1532"/>
      <c r="H73" s="889"/>
      <c r="I73" s="1532"/>
      <c r="J73" s="889"/>
      <c r="K73" s="1532"/>
      <c r="L73" s="889"/>
      <c r="M73" s="1532"/>
      <c r="N73" s="889"/>
      <c r="O73" s="1532"/>
      <c r="P73" s="889"/>
      <c r="Q73" s="1532"/>
      <c r="R73" s="889"/>
      <c r="S73" s="1532"/>
      <c r="T73" s="1532"/>
      <c r="U73" s="1532"/>
      <c r="V73" s="889"/>
      <c r="W73" s="1532"/>
      <c r="X73" s="889"/>
      <c r="Y73" s="1532"/>
      <c r="Z73" s="889"/>
      <c r="AA73" s="1532"/>
      <c r="AB73" s="889"/>
      <c r="AC73" s="1408"/>
      <c r="AD73" s="1532">
        <v>0</v>
      </c>
      <c r="AE73" s="3195"/>
      <c r="AF73" s="1018"/>
      <c r="AG73" s="1532">
        <v>0</v>
      </c>
      <c r="AH73" s="119"/>
      <c r="AI73" s="1076"/>
      <c r="AJ73" s="1925">
        <f>-ROUND(AD73-AG73,1)</f>
        <v>0</v>
      </c>
      <c r="AK73" s="1096"/>
      <c r="AL73" s="1719">
        <f>ROUND(IF(AG73=0,0,AJ73/ABS(AG73)),3)</f>
        <v>0</v>
      </c>
      <c r="AM73" s="1096"/>
    </row>
    <row r="74" spans="1:39">
      <c r="A74" s="107"/>
      <c r="B74" s="1718" t="s">
        <v>213</v>
      </c>
      <c r="C74" s="107"/>
      <c r="D74" s="107"/>
      <c r="E74" s="1532">
        <f t="shared" si="10"/>
        <v>0</v>
      </c>
      <c r="F74" s="889"/>
      <c r="G74" s="1532"/>
      <c r="H74" s="889"/>
      <c r="I74" s="1532"/>
      <c r="J74" s="889"/>
      <c r="K74" s="1532"/>
      <c r="L74" s="889"/>
      <c r="M74" s="1532"/>
      <c r="N74" s="889"/>
      <c r="O74" s="1532"/>
      <c r="P74" s="889"/>
      <c r="Q74" s="1532"/>
      <c r="R74" s="889"/>
      <c r="S74" s="1532"/>
      <c r="T74" s="1532"/>
      <c r="U74" s="1532"/>
      <c r="V74" s="889"/>
      <c r="W74" s="1532"/>
      <c r="X74" s="889"/>
      <c r="Y74" s="1532"/>
      <c r="Z74" s="889"/>
      <c r="AA74" s="1532"/>
      <c r="AB74" s="889"/>
      <c r="AC74" s="1408"/>
      <c r="AD74" s="3196">
        <v>0</v>
      </c>
      <c r="AE74" s="3195"/>
      <c r="AF74" s="1018"/>
      <c r="AG74" s="3196">
        <v>0</v>
      </c>
      <c r="AH74" s="67"/>
      <c r="AI74" s="1098"/>
      <c r="AJ74" s="1109">
        <f>-ROUND(AD74-AG74,1)</f>
        <v>0</v>
      </c>
      <c r="AK74" s="1096"/>
      <c r="AL74" s="1721">
        <f>ROUND(IF(AG74=0,0,AJ74/ABS(AG74)),3)</f>
        <v>0</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77"/>
      <c r="X75" s="118"/>
      <c r="Y75" s="126"/>
      <c r="Z75" s="118"/>
      <c r="AA75" s="126"/>
      <c r="AB75" s="118"/>
      <c r="AC75" s="673"/>
      <c r="AD75" s="358"/>
      <c r="AE75" s="1075"/>
      <c r="AF75" s="673"/>
      <c r="AG75" s="358"/>
      <c r="AH75" s="358"/>
      <c r="AI75" s="1103"/>
      <c r="AJ75" s="1110"/>
      <c r="AK75" s="3690"/>
      <c r="AL75" s="3691"/>
      <c r="AM75" s="1096"/>
    </row>
    <row r="76" spans="1:39">
      <c r="A76" s="107"/>
      <c r="B76" s="105" t="s">
        <v>206</v>
      </c>
      <c r="C76" s="107"/>
      <c r="D76" s="107"/>
      <c r="E76" s="1105">
        <f>ROUND(SUM(E73:E75),1)</f>
        <v>0</v>
      </c>
      <c r="F76" s="118"/>
      <c r="G76" s="1105">
        <f>ROUND(SUM(G73:G75),1)</f>
        <v>0</v>
      </c>
      <c r="H76" s="118"/>
      <c r="I76" s="1105">
        <f>ROUND(SUM(I73:I75),1)</f>
        <v>0</v>
      </c>
      <c r="J76" s="118"/>
      <c r="K76" s="1105">
        <f>ROUND(SUM(K73:K75),1)</f>
        <v>0</v>
      </c>
      <c r="L76" s="118"/>
      <c r="M76" s="1105">
        <f>ROUND(SUM(M73:M75),1)</f>
        <v>0</v>
      </c>
      <c r="N76" s="118"/>
      <c r="O76" s="1105">
        <f>ROUND(SUM(O73:O75),1)</f>
        <v>0</v>
      </c>
      <c r="P76" s="118"/>
      <c r="Q76" s="1105">
        <f>ROUND(SUM(Q73:Q75),1)</f>
        <v>0</v>
      </c>
      <c r="R76" s="127"/>
      <c r="S76" s="1105">
        <f>ROUND(SUM(S73:S75),1)</f>
        <v>0</v>
      </c>
      <c r="T76" s="118"/>
      <c r="U76" s="1105">
        <f>ROUND(SUM(U73:U75),1)</f>
        <v>0</v>
      </c>
      <c r="V76" s="118"/>
      <c r="W76" s="1105">
        <f>ROUND(SUM(W73:W75),1)</f>
        <v>0</v>
      </c>
      <c r="X76" s="118"/>
      <c r="Y76" s="1105">
        <f>ROUND(SUM(Y73:Y75),1)</f>
        <v>0</v>
      </c>
      <c r="Z76" s="119"/>
      <c r="AA76" s="1105">
        <f>ROUND(SUM(AA73:AA75),1)</f>
        <v>0</v>
      </c>
      <c r="AB76" s="118"/>
      <c r="AC76" s="673"/>
      <c r="AD76" s="1105">
        <f>ROUND(SUM(AD73:AD75),1)</f>
        <v>0</v>
      </c>
      <c r="AE76" s="1075"/>
      <c r="AF76" s="673"/>
      <c r="AG76" s="1105">
        <f>ROUND(SUM(AG73:AG75),1)</f>
        <v>0</v>
      </c>
      <c r="AH76" s="67"/>
      <c r="AI76" s="1098"/>
      <c r="AJ76" s="1105">
        <f>ROUND(SUM(AJ73:AJ75),1)</f>
        <v>0</v>
      </c>
      <c r="AK76" s="3690"/>
      <c r="AL76" s="2587">
        <f>ROUND(IF(AG76=0,0,AJ76/ABS(AG76)),3)</f>
        <v>0</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3"/>
      <c r="AD77" s="126"/>
      <c r="AE77" s="1075"/>
      <c r="AF77" s="673"/>
      <c r="AG77" s="126"/>
      <c r="AH77" s="67"/>
      <c r="AI77" s="1098"/>
      <c r="AJ77" s="126"/>
      <c r="AK77" s="1096"/>
      <c r="AL77" s="2162"/>
    </row>
    <row r="78" spans="1:39">
      <c r="A78" s="107"/>
      <c r="B78" s="105" t="s">
        <v>207</v>
      </c>
      <c r="C78" s="107"/>
      <c r="D78" s="107"/>
      <c r="E78" s="118" t="s">
        <v>14</v>
      </c>
      <c r="F78" s="118" t="s">
        <v>14</v>
      </c>
      <c r="G78" s="118" t="s">
        <v>14</v>
      </c>
      <c r="H78" s="118"/>
      <c r="I78" s="118" t="s">
        <v>14</v>
      </c>
      <c r="J78" s="118"/>
      <c r="K78" s="118" t="s">
        <v>14</v>
      </c>
      <c r="L78" s="118"/>
      <c r="M78" s="118" t="s">
        <v>14</v>
      </c>
      <c r="N78" s="118"/>
      <c r="O78" s="118" t="s">
        <v>14</v>
      </c>
      <c r="P78" s="118"/>
      <c r="Q78" s="118" t="s">
        <v>14</v>
      </c>
      <c r="R78" s="118"/>
      <c r="S78" s="118" t="s">
        <v>14</v>
      </c>
      <c r="T78" s="118"/>
      <c r="U78" s="118" t="s">
        <v>14</v>
      </c>
      <c r="V78" s="118"/>
      <c r="W78" s="118" t="s">
        <v>14</v>
      </c>
      <c r="X78" s="118"/>
      <c r="Y78" s="118" t="s">
        <v>14</v>
      </c>
      <c r="Z78" s="118"/>
      <c r="AA78" s="118" t="s">
        <v>14</v>
      </c>
      <c r="AB78" s="118"/>
      <c r="AC78" s="673"/>
      <c r="AD78" s="118"/>
      <c r="AE78" s="1075"/>
      <c r="AF78" s="673"/>
      <c r="AG78" s="118"/>
      <c r="AH78" s="118"/>
      <c r="AI78" s="1098"/>
      <c r="AJ78" s="358"/>
      <c r="AK78" s="1096"/>
      <c r="AL78" s="1078"/>
    </row>
    <row r="79" spans="1:39">
      <c r="A79" s="107"/>
      <c r="B79" s="105" t="s">
        <v>208</v>
      </c>
      <c r="C79" s="107"/>
      <c r="D79" s="107"/>
      <c r="E79" s="118"/>
      <c r="F79" s="118"/>
      <c r="G79" s="118" t="s">
        <v>14</v>
      </c>
      <c r="H79" s="118"/>
      <c r="I79" s="118" t="s">
        <v>14</v>
      </c>
      <c r="J79" s="118"/>
      <c r="K79" s="118" t="s">
        <v>14</v>
      </c>
      <c r="L79" s="118"/>
      <c r="M79" s="118" t="s">
        <v>14</v>
      </c>
      <c r="N79" s="118"/>
      <c r="O79" s="118" t="s">
        <v>14</v>
      </c>
      <c r="P79" s="118"/>
      <c r="Q79" s="118" t="s">
        <v>14</v>
      </c>
      <c r="R79" s="118"/>
      <c r="S79" s="118" t="s">
        <v>14</v>
      </c>
      <c r="T79" s="118"/>
      <c r="U79" s="118" t="s">
        <v>14</v>
      </c>
      <c r="V79" s="118"/>
      <c r="W79" s="118" t="s">
        <v>14</v>
      </c>
      <c r="X79" s="118"/>
      <c r="Y79" s="118" t="s">
        <v>14</v>
      </c>
      <c r="Z79" s="118"/>
      <c r="AA79" s="118" t="s">
        <v>14</v>
      </c>
      <c r="AB79" s="118"/>
      <c r="AC79" s="673"/>
      <c r="AD79" s="118"/>
      <c r="AE79" s="1075"/>
      <c r="AF79" s="673"/>
      <c r="AG79" s="118"/>
      <c r="AH79" s="118"/>
      <c r="AI79" s="1098"/>
      <c r="AJ79" s="358"/>
      <c r="AK79" s="1096"/>
      <c r="AL79" s="1078"/>
    </row>
    <row r="80" spans="1:39">
      <c r="A80" s="107"/>
      <c r="B80" s="105" t="s">
        <v>166</v>
      </c>
      <c r="C80" s="107"/>
      <c r="D80" s="107"/>
      <c r="E80" s="1101">
        <f>ROUND(E70+E76,1)</f>
        <v>-47.4</v>
      </c>
      <c r="F80" s="67"/>
      <c r="G80" s="1101">
        <f>ROUND(G70+G76,1)</f>
        <v>0</v>
      </c>
      <c r="H80" s="67"/>
      <c r="I80" s="1101">
        <f>ROUND(I70+I76,1)</f>
        <v>0</v>
      </c>
      <c r="J80" s="67"/>
      <c r="K80" s="1101">
        <f>ROUND(K70+K76,1)</f>
        <v>0</v>
      </c>
      <c r="L80" s="67"/>
      <c r="M80" s="1101">
        <f>ROUND(M70+M76,1)</f>
        <v>0</v>
      </c>
      <c r="N80" s="67"/>
      <c r="O80" s="1101">
        <f>ROUND(O70+O76,1)</f>
        <v>0</v>
      </c>
      <c r="P80" s="67"/>
      <c r="Q80" s="1101">
        <f>ROUND(Q70+Q76,1)</f>
        <v>0</v>
      </c>
      <c r="R80" s="67"/>
      <c r="S80" s="1101">
        <f>ROUND(S70+S76,1)</f>
        <v>0</v>
      </c>
      <c r="T80" s="67"/>
      <c r="U80" s="1101">
        <f>ROUND(U70+U76,1)</f>
        <v>0</v>
      </c>
      <c r="V80" s="67"/>
      <c r="W80" s="1101">
        <f>ROUND(W70+W76,1)</f>
        <v>0</v>
      </c>
      <c r="X80" s="67"/>
      <c r="Y80" s="1101">
        <f>ROUND(Y70+Y76,1)</f>
        <v>0</v>
      </c>
      <c r="Z80" s="67"/>
      <c r="AA80" s="1101">
        <f>ROUND(AA70+AA76,1)</f>
        <v>0</v>
      </c>
      <c r="AB80" s="67"/>
      <c r="AC80" s="1066"/>
      <c r="AD80" s="1101">
        <f>ROUND(AD70+AD76,1)</f>
        <v>-47.4</v>
      </c>
      <c r="AE80" s="3197"/>
      <c r="AF80" s="3200"/>
      <c r="AG80" s="1101">
        <f>ROUND(AG70+AG76,1)</f>
        <v>6.1</v>
      </c>
      <c r="AH80" s="1840"/>
      <c r="AI80" s="1841"/>
      <c r="AJ80" s="1101">
        <f>ROUND(AD80-AG80,1)</f>
        <v>-53.5</v>
      </c>
      <c r="AK80" s="3453"/>
      <c r="AL80" s="3650">
        <f>ROUND(SUM(AD80-AG80)/ABS(AG80),3)</f>
        <v>-8.77</v>
      </c>
      <c r="AM80" s="3692"/>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66"/>
      <c r="AD81" s="139"/>
      <c r="AE81" s="3198"/>
      <c r="AF81" s="3201"/>
      <c r="AG81" s="139"/>
      <c r="AH81" s="1375"/>
      <c r="AI81" s="1376"/>
      <c r="AJ81" s="139"/>
      <c r="AK81" s="3688"/>
      <c r="AL81" s="3693"/>
      <c r="AM81" s="3692"/>
    </row>
    <row r="82" spans="1:39" ht="16" thickBot="1">
      <c r="A82" s="107"/>
      <c r="B82" s="105" t="s">
        <v>1104</v>
      </c>
      <c r="C82" s="107"/>
      <c r="D82" s="107"/>
      <c r="E82" s="1842">
        <f>ROUND(SUM(E14+E80),1)</f>
        <v>-627.70000000000005</v>
      </c>
      <c r="F82" s="118"/>
      <c r="G82" s="1842">
        <f>ROUND(SUM(G14+G80),1)</f>
        <v>0</v>
      </c>
      <c r="H82" s="118"/>
      <c r="I82" s="1842">
        <f>ROUND(SUM(I14+I80),1)</f>
        <v>0</v>
      </c>
      <c r="J82" s="118"/>
      <c r="K82" s="1842">
        <f>ROUND(SUM(K14+K80),1)</f>
        <v>0</v>
      </c>
      <c r="L82" s="118"/>
      <c r="M82" s="1842">
        <f>ROUND(SUM(M14+M80),1)</f>
        <v>0</v>
      </c>
      <c r="N82" s="118"/>
      <c r="O82" s="1842">
        <f>ROUND(SUM(O14+O80),1)</f>
        <v>0</v>
      </c>
      <c r="P82" s="118"/>
      <c r="Q82" s="1842">
        <f>ROUND(SUM(Q14+Q80),1)</f>
        <v>0</v>
      </c>
      <c r="R82" s="118"/>
      <c r="S82" s="1842">
        <f>ROUND(SUM(S14+S80),1)</f>
        <v>0</v>
      </c>
      <c r="T82" s="118"/>
      <c r="U82" s="1842">
        <f>ROUND(SUM(U14+U80),1)</f>
        <v>0</v>
      </c>
      <c r="V82" s="118"/>
      <c r="W82" s="1842">
        <f>ROUND(SUM(W14+W80),1)</f>
        <v>0</v>
      </c>
      <c r="X82" s="118"/>
      <c r="Y82" s="1842">
        <f>ROUND(SUM(Y14+Y80),1)</f>
        <v>0</v>
      </c>
      <c r="Z82" s="118"/>
      <c r="AA82" s="1842">
        <f>ROUND(SUM(AA14+AA80),1)</f>
        <v>0</v>
      </c>
      <c r="AB82" s="118"/>
      <c r="AC82" s="1066"/>
      <c r="AD82" s="1842">
        <f>ROUND(SUM(AD14+AD80),1)</f>
        <v>-627.70000000000005</v>
      </c>
      <c r="AE82" s="3198"/>
      <c r="AF82" s="3201"/>
      <c r="AG82" s="1842">
        <f>ROUND(SUM(AG14+AG80),1)</f>
        <v>-556.6</v>
      </c>
      <c r="AH82" s="1375"/>
      <c r="AI82" s="1376"/>
      <c r="AJ82" s="1842">
        <f>ROUND(SUM(AJ14+AJ80),1)</f>
        <v>-71.099999999999994</v>
      </c>
      <c r="AK82" s="3688"/>
      <c r="AL82" s="3694">
        <f>ROUND(SUM(AD82-AG82)/ABS(AG82),3)</f>
        <v>-0.128</v>
      </c>
      <c r="AM82" s="3692"/>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1"/>
      <c r="AJ83" s="1096"/>
      <c r="AK83" s="1096"/>
      <c r="AL83" s="3695"/>
    </row>
    <row r="84" spans="1:39">
      <c r="A84" s="107"/>
      <c r="B84" s="3696"/>
      <c r="C84" s="107"/>
      <c r="D84" s="107"/>
      <c r="E84" s="109"/>
      <c r="F84" s="107"/>
      <c r="G84" s="109"/>
      <c r="H84" s="107"/>
      <c r="I84" s="109"/>
      <c r="J84" s="107"/>
      <c r="K84" s="109"/>
      <c r="L84" s="107"/>
      <c r="M84" s="109"/>
      <c r="N84" s="107"/>
      <c r="O84" s="109"/>
      <c r="P84" s="107"/>
      <c r="Q84" s="109"/>
      <c r="R84" s="107"/>
      <c r="S84" s="3697" t="s">
        <v>14</v>
      </c>
      <c r="T84" s="107"/>
      <c r="U84" s="3697" t="s">
        <v>14</v>
      </c>
      <c r="V84" s="107"/>
      <c r="W84" s="109"/>
      <c r="X84" s="107"/>
      <c r="Y84" s="109"/>
      <c r="Z84" s="107"/>
      <c r="AA84" s="109"/>
      <c r="AB84" s="107"/>
      <c r="AC84" s="107"/>
      <c r="AD84" s="109"/>
      <c r="AE84" s="107"/>
      <c r="AF84" s="107"/>
      <c r="AG84" s="109"/>
      <c r="AH84" s="109"/>
      <c r="AI84" s="109"/>
      <c r="AJ84" s="1096"/>
      <c r="AK84" s="1096"/>
      <c r="AL84" s="1078"/>
    </row>
    <row r="85" spans="1:39">
      <c r="B85" s="107"/>
      <c r="Y85" s="3454" t="s">
        <v>14</v>
      </c>
      <c r="AI85" s="1096"/>
      <c r="AJ85" s="1084" t="s">
        <v>14</v>
      </c>
      <c r="AK85" s="1096"/>
      <c r="AL85" s="3698"/>
    </row>
    <row r="90" spans="1:39">
      <c r="AD90" s="3199"/>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44 AL62:AL65 AL73 AL50:AL54 AL57:AL58 AL35:AL40 AL21:AL28"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765625" defaultRowHeight="16.5" customHeight="1"/>
  <cols>
    <col min="1" max="1" width="45.07421875" style="102" customWidth="1"/>
    <col min="2" max="2" width="1.765625" style="102" customWidth="1"/>
    <col min="3" max="3" width="9.765625" style="102" customWidth="1"/>
    <col min="4" max="4" width="1.765625" style="102" customWidth="1"/>
    <col min="5" max="5" width="10" style="102" customWidth="1"/>
    <col min="6" max="6" width="1.765625" style="102" customWidth="1"/>
    <col min="7" max="7" width="11.53515625" style="102" customWidth="1"/>
    <col min="8" max="8" width="1.76562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765625" style="102" customWidth="1"/>
    <col min="15" max="15" width="11.765625" style="102" customWidth="1"/>
    <col min="16" max="16" width="1.765625" style="102" customWidth="1"/>
    <col min="17" max="17" width="11.765625" style="102" customWidth="1"/>
    <col min="18" max="18" width="1.765625" style="102" customWidth="1"/>
    <col min="19" max="19" width="12.4609375" style="102" customWidth="1"/>
    <col min="20" max="20" width="1.765625" style="102" customWidth="1"/>
    <col min="21" max="21" width="11.765625" style="102" customWidth="1"/>
    <col min="22" max="22" width="1.765625" style="102" customWidth="1"/>
    <col min="23" max="23" width="12" style="102" customWidth="1"/>
    <col min="24" max="24" width="1.765625" style="102" customWidth="1"/>
    <col min="25" max="25" width="11.765625" style="102" customWidth="1"/>
    <col min="26" max="27" width="1.765625" style="102" customWidth="1"/>
    <col min="28" max="28" width="11.53515625" style="1705" customWidth="1"/>
    <col min="29" max="30" width="1.765625" style="1705" customWidth="1"/>
    <col min="31" max="31" width="12.4609375" style="1705" customWidth="1"/>
    <col min="32" max="32" width="1.765625" style="2202" customWidth="1"/>
    <col min="33" max="33" width="2.4609375" style="3214" customWidth="1"/>
    <col min="34" max="34" width="12.4609375" style="1654" customWidth="1"/>
    <col min="35" max="35" width="1.765625" style="1127" customWidth="1"/>
    <col min="36" max="36" width="14.07421875" style="1126" bestFit="1" customWidth="1"/>
    <col min="37" max="16384" width="8.765625" style="102"/>
  </cols>
  <sheetData>
    <row r="1" spans="1:254" ht="16.5" customHeight="1">
      <c r="A1" s="640" t="s">
        <v>885</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10"/>
      <c r="AC2" s="3110"/>
      <c r="AD2" s="3110"/>
      <c r="AE2" s="3110"/>
    </row>
    <row r="3" spans="1:254" ht="20.25" customHeight="1">
      <c r="A3" s="3530"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699"/>
      <c r="AC3" s="1699"/>
      <c r="AD3" s="1699"/>
      <c r="AE3" s="1699"/>
      <c r="AF3" s="107"/>
      <c r="AJ3" s="1164" t="s">
        <v>996</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30" t="s">
        <v>214</v>
      </c>
      <c r="B4" s="221"/>
      <c r="C4" s="221"/>
      <c r="D4" s="221"/>
      <c r="E4" s="221"/>
      <c r="F4" s="221"/>
      <c r="G4" s="221"/>
      <c r="H4" s="221"/>
      <c r="I4" s="221" t="s">
        <v>14</v>
      </c>
      <c r="J4" s="221"/>
      <c r="K4" s="221"/>
      <c r="L4" s="221"/>
      <c r="M4" s="221"/>
      <c r="N4" s="221"/>
      <c r="O4" s="221"/>
      <c r="P4" s="221"/>
      <c r="Q4" s="221"/>
      <c r="R4" s="221"/>
      <c r="S4" s="221"/>
      <c r="T4" s="221"/>
      <c r="U4" s="221"/>
      <c r="V4" s="221"/>
      <c r="W4" s="221"/>
      <c r="X4" s="221"/>
      <c r="Y4" s="221" t="s">
        <v>14</v>
      </c>
      <c r="Z4" s="221"/>
      <c r="AA4" s="221"/>
      <c r="AB4" s="1699"/>
      <c r="AC4" s="1699"/>
      <c r="AD4" s="1699"/>
      <c r="AE4" s="1699"/>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31" t="s">
        <v>122</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15"/>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31" t="str">
        <f>'Cashflow Governmental'!A6</f>
        <v xml:space="preserve">FISCAL YEAR 2021-2022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699"/>
      <c r="AC6" s="1699"/>
      <c r="AD6" s="1699"/>
      <c r="AE6" s="1699"/>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30" t="s">
        <v>1280</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699"/>
      <c r="AC7" s="1699"/>
      <c r="AD7" s="1699"/>
      <c r="AE7" s="1699"/>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10"/>
      <c r="AC8" s="3110"/>
      <c r="AD8" s="3110"/>
      <c r="AE8" s="3110"/>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10"/>
      <c r="AC9" s="3110"/>
      <c r="AD9" s="3110"/>
      <c r="AE9" s="3110"/>
      <c r="AF9" s="1082"/>
      <c r="AG9" s="3216"/>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10"/>
      <c r="AC10" s="3110"/>
      <c r="AD10" s="3110"/>
      <c r="AE10" s="3110"/>
      <c r="AF10" s="1705"/>
      <c r="AG10" s="3217"/>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10"/>
      <c r="AD11" s="3110"/>
      <c r="AE11" s="3110"/>
      <c r="AF11" s="3218"/>
      <c r="AG11" s="3219"/>
      <c r="AH11" s="3216"/>
      <c r="AI11" s="1128"/>
      <c r="AJ11" s="1128"/>
    </row>
    <row r="12" spans="1:254" ht="16.5" customHeight="1">
      <c r="A12" s="221"/>
      <c r="B12" s="221"/>
      <c r="C12" s="230" t="s">
        <v>14</v>
      </c>
      <c r="D12" s="230" t="s">
        <v>14</v>
      </c>
      <c r="E12" s="230"/>
      <c r="F12" s="230"/>
      <c r="G12" s="230"/>
      <c r="H12" s="230"/>
      <c r="I12" s="230"/>
      <c r="J12" s="230"/>
      <c r="K12" s="230"/>
      <c r="L12" s="230"/>
      <c r="M12" s="230"/>
      <c r="N12" s="230"/>
      <c r="O12" s="230"/>
      <c r="P12" s="230"/>
      <c r="Q12" s="230"/>
      <c r="R12" s="230"/>
      <c r="S12" s="230"/>
      <c r="T12" s="230"/>
      <c r="U12" s="230"/>
      <c r="V12" s="230"/>
      <c r="W12" s="230"/>
      <c r="X12" s="230"/>
      <c r="Y12" s="758"/>
      <c r="Z12" s="758"/>
      <c r="AA12" s="230"/>
      <c r="AB12" s="3944" t="s">
        <v>1422</v>
      </c>
      <c r="AC12" s="3945"/>
      <c r="AD12" s="3945"/>
      <c r="AE12" s="3945"/>
      <c r="AF12" s="3945"/>
      <c r="AG12" s="3945"/>
      <c r="AH12" s="3945"/>
      <c r="AI12" s="3945"/>
      <c r="AJ12" s="3945"/>
    </row>
    <row r="13" spans="1:254" ht="16.5" customHeight="1">
      <c r="A13" s="221"/>
      <c r="B13" s="221"/>
      <c r="C13" s="902" t="str">
        <f>'Cashflow Governmental'!C13</f>
        <v>2021</v>
      </c>
      <c r="D13" s="230"/>
      <c r="E13" s="230"/>
      <c r="F13" s="230"/>
      <c r="G13" s="230"/>
      <c r="H13" s="230"/>
      <c r="I13" s="230"/>
      <c r="J13" s="230"/>
      <c r="K13" s="230"/>
      <c r="L13" s="230"/>
      <c r="M13" s="230"/>
      <c r="N13" s="230"/>
      <c r="O13" s="230"/>
      <c r="P13" s="230"/>
      <c r="Q13" s="230"/>
      <c r="R13" s="230"/>
      <c r="S13" s="230"/>
      <c r="T13" s="230"/>
      <c r="U13" s="902">
        <f>'Cashflow Governmental'!U13</f>
        <v>2022</v>
      </c>
      <c r="V13" s="230"/>
      <c r="W13" s="230"/>
      <c r="X13" s="230"/>
      <c r="Y13" s="230"/>
      <c r="Z13" s="230"/>
      <c r="AA13" s="230"/>
      <c r="AB13" s="3111"/>
      <c r="AC13" s="3202"/>
      <c r="AD13" s="3202"/>
      <c r="AE13" s="3202"/>
      <c r="AF13" s="3220"/>
      <c r="AG13" s="3221"/>
      <c r="AH13" s="3222" t="s">
        <v>7</v>
      </c>
      <c r="AI13" s="1130"/>
      <c r="AJ13" s="1131" t="s">
        <v>8</v>
      </c>
    </row>
    <row r="14" spans="1:254" ht="16.5" customHeight="1">
      <c r="A14" s="221"/>
      <c r="B14" s="221"/>
      <c r="C14" s="759" t="s">
        <v>123</v>
      </c>
      <c r="D14" s="230"/>
      <c r="E14" s="759" t="s">
        <v>124</v>
      </c>
      <c r="F14" s="230"/>
      <c r="G14" s="759" t="s">
        <v>125</v>
      </c>
      <c r="H14" s="230"/>
      <c r="I14" s="759" t="s">
        <v>126</v>
      </c>
      <c r="J14" s="230"/>
      <c r="K14" s="759" t="s">
        <v>127</v>
      </c>
      <c r="L14" s="230"/>
      <c r="M14" s="759" t="s">
        <v>142</v>
      </c>
      <c r="N14" s="230"/>
      <c r="O14" s="759" t="s">
        <v>143</v>
      </c>
      <c r="P14" s="230"/>
      <c r="Q14" s="759" t="s">
        <v>130</v>
      </c>
      <c r="R14" s="230"/>
      <c r="S14" s="759" t="s">
        <v>131</v>
      </c>
      <c r="T14" s="230"/>
      <c r="U14" s="759" t="s">
        <v>132</v>
      </c>
      <c r="V14" s="230"/>
      <c r="W14" s="759" t="s">
        <v>133</v>
      </c>
      <c r="X14" s="230"/>
      <c r="Y14" s="759" t="s">
        <v>184</v>
      </c>
      <c r="Z14" s="230"/>
      <c r="AA14" s="230"/>
      <c r="AB14" s="3203">
        <f>'Cashflow Governmental'!AB14</f>
        <v>2021</v>
      </c>
      <c r="AC14" s="1698" t="s">
        <v>14</v>
      </c>
      <c r="AD14" s="1698"/>
      <c r="AE14" s="3203">
        <f>'Cashflow Governmental'!AE14</f>
        <v>2020</v>
      </c>
      <c r="AF14" s="3223"/>
      <c r="AG14" s="3224"/>
      <c r="AH14" s="3225" t="s">
        <v>11</v>
      </c>
      <c r="AI14" s="1133"/>
      <c r="AJ14" s="1132" t="s">
        <v>12</v>
      </c>
    </row>
    <row r="15" spans="1:254" ht="4.5" customHeight="1">
      <c r="A15" s="221"/>
      <c r="B15" s="221"/>
      <c r="C15" s="226"/>
      <c r="D15" s="221"/>
      <c r="E15" s="226"/>
      <c r="F15" s="221"/>
      <c r="G15" s="226"/>
      <c r="H15" s="221"/>
      <c r="I15" s="226"/>
      <c r="J15" s="221"/>
      <c r="K15" s="226"/>
      <c r="L15" s="221"/>
      <c r="M15" s="226"/>
      <c r="N15" s="221"/>
      <c r="O15" s="226" t="s">
        <v>14</v>
      </c>
      <c r="P15" s="221"/>
      <c r="Q15" s="226"/>
      <c r="R15" s="221"/>
      <c r="S15" s="226"/>
      <c r="T15" s="221"/>
      <c r="U15" s="226" t="s">
        <v>14</v>
      </c>
      <c r="V15" s="221"/>
      <c r="W15" s="226"/>
      <c r="X15" s="221"/>
      <c r="Y15" s="226"/>
      <c r="Z15" s="221"/>
      <c r="AA15" s="221"/>
      <c r="AB15" s="3204"/>
      <c r="AC15" s="1699"/>
      <c r="AD15" s="1699"/>
      <c r="AE15" s="3204"/>
      <c r="AF15" s="3223"/>
      <c r="AG15" s="3224"/>
    </row>
    <row r="16" spans="1:254" ht="16.5" customHeight="1">
      <c r="A16" s="227" t="s">
        <v>135</v>
      </c>
      <c r="B16" s="221"/>
      <c r="C16" s="2133">
        <v>328</v>
      </c>
      <c r="D16" s="228"/>
      <c r="E16" s="228"/>
      <c r="F16" s="359"/>
      <c r="G16" s="228"/>
      <c r="H16" s="359"/>
      <c r="I16" s="228"/>
      <c r="J16" s="228"/>
      <c r="K16" s="228"/>
      <c r="L16" s="359"/>
      <c r="M16" s="228"/>
      <c r="N16" s="359"/>
      <c r="O16" s="228"/>
      <c r="P16" s="359"/>
      <c r="Q16" s="228"/>
      <c r="R16" s="359"/>
      <c r="S16" s="228"/>
      <c r="T16" s="359"/>
      <c r="U16" s="228"/>
      <c r="V16" s="359"/>
      <c r="W16" s="228"/>
      <c r="X16" s="359"/>
      <c r="Y16" s="228"/>
      <c r="Z16" s="228"/>
      <c r="AA16" s="229"/>
      <c r="AB16" s="3205">
        <f>C16</f>
        <v>328</v>
      </c>
      <c r="AC16" s="3205"/>
      <c r="AD16" s="3226"/>
      <c r="AE16" s="2133">
        <v>29.700000000000017</v>
      </c>
      <c r="AF16" s="1680"/>
      <c r="AG16" s="1664"/>
      <c r="AH16" s="1653">
        <f>ROUND(SUM(AB16-AE16),1)</f>
        <v>298.3</v>
      </c>
      <c r="AJ16" s="3900">
        <f>ROUND(IF(AH16=0,0,AH16/(AE16)),3)</f>
        <v>10.044</v>
      </c>
    </row>
    <row r="17" spans="1:38" ht="16.5" customHeight="1">
      <c r="A17" s="221"/>
      <c r="B17" s="221"/>
      <c r="C17" s="221" t="s">
        <v>14</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699" t="s">
        <v>14</v>
      </c>
      <c r="AC17" s="1699"/>
      <c r="AD17" s="3227"/>
      <c r="AE17" s="1699" t="s">
        <v>14</v>
      </c>
      <c r="AF17" s="1692"/>
      <c r="AG17" s="1664"/>
      <c r="AH17" s="3228"/>
      <c r="AJ17" s="3617"/>
    </row>
    <row r="18" spans="1:38" ht="16.5" customHeight="1">
      <c r="A18" s="230" t="s">
        <v>13</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699"/>
      <c r="AC18" s="1699"/>
      <c r="AD18" s="3227"/>
      <c r="AE18" s="1699"/>
      <c r="AF18" s="1665"/>
      <c r="AG18" s="1664"/>
      <c r="AH18" s="3228"/>
      <c r="AJ18" s="3617"/>
    </row>
    <row r="19" spans="1:38" ht="18.75" customHeight="1">
      <c r="A19" s="221" t="s">
        <v>177</v>
      </c>
      <c r="B19" s="221"/>
      <c r="C19" s="233">
        <f>$AB19</f>
        <v>261.8</v>
      </c>
      <c r="D19" s="233"/>
      <c r="E19" s="233"/>
      <c r="F19" s="242"/>
      <c r="G19" s="233"/>
      <c r="H19" s="242"/>
      <c r="I19" s="233"/>
      <c r="J19" s="242"/>
      <c r="K19" s="233"/>
      <c r="L19" s="242"/>
      <c r="M19" s="233"/>
      <c r="N19" s="242"/>
      <c r="O19" s="233"/>
      <c r="P19" s="242"/>
      <c r="Q19" s="1695"/>
      <c r="R19" s="242"/>
      <c r="S19" s="1695"/>
      <c r="T19" s="242"/>
      <c r="U19" s="1695"/>
      <c r="V19" s="242"/>
      <c r="W19" s="1695"/>
      <c r="X19" s="242"/>
      <c r="Y19" s="1695"/>
      <c r="Z19" s="233"/>
      <c r="AA19" s="234"/>
      <c r="AB19" s="2102">
        <v>261.8</v>
      </c>
      <c r="AC19" s="1553"/>
      <c r="AD19" s="1701"/>
      <c r="AE19" s="2102">
        <v>4.2000000000000171</v>
      </c>
      <c r="AF19" s="1572"/>
      <c r="AG19" s="1664"/>
      <c r="AH19" s="3229">
        <f>ROUND(AB19-AE19,1)</f>
        <v>257.60000000000002</v>
      </c>
      <c r="AI19" s="1136"/>
      <c r="AJ19" s="3896">
        <f>ROUND(IF(AE19=0,0,AH19/ABS(AE19)),3)</f>
        <v>61.332999999999998</v>
      </c>
    </row>
    <row r="20" spans="1:38" ht="17.25" customHeight="1">
      <c r="A20" s="227" t="s">
        <v>215</v>
      </c>
      <c r="B20" s="221"/>
      <c r="C20" s="233">
        <f t="shared" ref="C20:C21" si="0">$AB20</f>
        <v>4691.3999999999996</v>
      </c>
      <c r="D20" s="233"/>
      <c r="E20" s="233"/>
      <c r="F20" s="242"/>
      <c r="G20" s="233"/>
      <c r="H20" s="242"/>
      <c r="I20" s="233"/>
      <c r="J20" s="242"/>
      <c r="K20" s="233"/>
      <c r="L20" s="242"/>
      <c r="M20" s="233"/>
      <c r="N20" s="242"/>
      <c r="O20" s="233"/>
      <c r="P20" s="242"/>
      <c r="Q20" s="1695"/>
      <c r="R20" s="242"/>
      <c r="S20" s="1695"/>
      <c r="T20" s="242"/>
      <c r="U20" s="1695"/>
      <c r="V20" s="242"/>
      <c r="W20" s="1695"/>
      <c r="X20" s="242"/>
      <c r="Y20" s="1695"/>
      <c r="Z20" s="233"/>
      <c r="AA20" s="234"/>
      <c r="AB20" s="2102">
        <v>4691.3999999999996</v>
      </c>
      <c r="AC20" s="1553"/>
      <c r="AD20" s="1701"/>
      <c r="AE20" s="2102">
        <v>2584</v>
      </c>
      <c r="AF20" s="1572"/>
      <c r="AG20" s="1664"/>
      <c r="AH20" s="3229">
        <f>ROUND(AB20-AE20,1)</f>
        <v>2107.4</v>
      </c>
      <c r="AI20" s="1136"/>
      <c r="AJ20" s="3624">
        <f>ROUND(IF(AE20=0,0,AH20/ABS(AE20)),3)</f>
        <v>0.81599999999999995</v>
      </c>
    </row>
    <row r="21" spans="1:38" ht="17.25" customHeight="1">
      <c r="A21" s="244" t="s">
        <v>216</v>
      </c>
      <c r="B21" s="221"/>
      <c r="C21" s="233">
        <f t="shared" si="0"/>
        <v>218.5</v>
      </c>
      <c r="D21" s="233"/>
      <c r="E21" s="233"/>
      <c r="F21" s="242"/>
      <c r="G21" s="233"/>
      <c r="H21" s="242"/>
      <c r="I21" s="233"/>
      <c r="J21" s="242"/>
      <c r="K21" s="233"/>
      <c r="L21" s="242"/>
      <c r="M21" s="233"/>
      <c r="N21" s="242"/>
      <c r="O21" s="233"/>
      <c r="P21" s="242"/>
      <c r="Q21" s="1695"/>
      <c r="R21" s="242"/>
      <c r="S21" s="1695"/>
      <c r="T21" s="242"/>
      <c r="U21" s="1695"/>
      <c r="V21" s="242"/>
      <c r="W21" s="1695"/>
      <c r="X21" s="242"/>
      <c r="Y21" s="1695"/>
      <c r="Z21" s="233"/>
      <c r="AA21" s="234"/>
      <c r="AB21" s="2102">
        <v>218.5</v>
      </c>
      <c r="AC21" s="1553"/>
      <c r="AD21" s="1701"/>
      <c r="AE21" s="2102">
        <v>1823.9</v>
      </c>
      <c r="AF21" s="1667"/>
      <c r="AG21" s="1670"/>
      <c r="AH21" s="3230">
        <f>ROUND(AB21-AE21,1)</f>
        <v>-1605.4</v>
      </c>
      <c r="AI21" s="1136"/>
      <c r="AJ21" s="3673">
        <f>ROUND(IF(AE21=0,0,AH21/ABS(AE21)),3)</f>
        <v>-0.88</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697"/>
      <c r="X22" s="242"/>
      <c r="Y22" s="363"/>
      <c r="Z22" s="233"/>
      <c r="AA22" s="234"/>
      <c r="AB22" s="3206"/>
      <c r="AC22" s="1553"/>
      <c r="AD22" s="1701"/>
      <c r="AE22" s="3206"/>
      <c r="AF22" s="1569"/>
      <c r="AG22" s="1670"/>
      <c r="AH22" s="1681"/>
      <c r="AJ22" s="3617"/>
    </row>
    <row r="23" spans="1:38" ht="16.5" customHeight="1">
      <c r="A23" s="230" t="s">
        <v>149</v>
      </c>
      <c r="B23" s="221"/>
      <c r="C23" s="243">
        <f>ROUND(SUM(C19:C22),1)</f>
        <v>5171.7</v>
      </c>
      <c r="D23" s="235"/>
      <c r="E23" s="243">
        <f>ROUND(SUM(E19:E22),1)</f>
        <v>0</v>
      </c>
      <c r="F23" s="243"/>
      <c r="G23" s="243">
        <f>ROUND(SUM(G19:G22),1)</f>
        <v>0</v>
      </c>
      <c r="H23" s="243"/>
      <c r="I23" s="243">
        <f>ROUND(SUM(I19:I22),1)</f>
        <v>0</v>
      </c>
      <c r="J23" s="243"/>
      <c r="K23" s="243">
        <f>ROUND(SUM(K19:K22),1)</f>
        <v>0</v>
      </c>
      <c r="L23" s="243"/>
      <c r="M23" s="243">
        <f>ROUND(SUM(M19:M22),1)</f>
        <v>0</v>
      </c>
      <c r="N23" s="243"/>
      <c r="O23" s="243">
        <f>ROUND(SUM(O19:O22),1)</f>
        <v>0</v>
      </c>
      <c r="P23" s="243"/>
      <c r="Q23" s="243">
        <f>ROUND(SUM(Q19:Q22),1)</f>
        <v>0</v>
      </c>
      <c r="R23" s="243"/>
      <c r="S23" s="243">
        <f>ROUND(SUM(S19:S22),1)</f>
        <v>0</v>
      </c>
      <c r="T23" s="243"/>
      <c r="U23" s="243">
        <f>ROUND(SUM(U19:U22),1)</f>
        <v>0</v>
      </c>
      <c r="V23" s="243"/>
      <c r="W23" s="3207">
        <f>ROUND(SUM(W19:W22),1)</f>
        <v>0</v>
      </c>
      <c r="X23" s="243"/>
      <c r="Y23" s="243">
        <f>ROUND(SUM(Y19:Y22),1)</f>
        <v>0</v>
      </c>
      <c r="Z23" s="235"/>
      <c r="AA23" s="236"/>
      <c r="AB23" s="3207">
        <f>ROUND(SUM(AB19:AB22),1)</f>
        <v>5171.7</v>
      </c>
      <c r="AC23" s="3208"/>
      <c r="AD23" s="3231"/>
      <c r="AE23" s="3207">
        <f>ROUND(SUM(AE19:AE22),1)</f>
        <v>4412.1000000000004</v>
      </c>
      <c r="AF23" s="1667"/>
      <c r="AG23" s="1670"/>
      <c r="AH23" s="3232">
        <f>ROUND(SUM(AH19:AH21),1)</f>
        <v>759.6</v>
      </c>
      <c r="AI23" s="1138"/>
      <c r="AJ23" s="3622">
        <f>ROUND(IF(AH23=0,0,AH23/ABS(AE23)),3)</f>
        <v>0.17199999999999999</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06"/>
      <c r="AC24" s="1553"/>
      <c r="AD24" s="1701"/>
      <c r="AE24" s="3206"/>
      <c r="AF24" s="2190"/>
      <c r="AG24" s="1670"/>
      <c r="AH24" s="1681"/>
      <c r="AJ24" s="3617"/>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53"/>
      <c r="AC25" s="1553"/>
      <c r="AD25" s="1701"/>
      <c r="AE25" s="1553"/>
      <c r="AF25" s="1665"/>
      <c r="AG25" s="1664"/>
      <c r="AH25" s="1681"/>
      <c r="AJ25" s="3618"/>
    </row>
    <row r="26" spans="1:38" ht="16.5" customHeight="1">
      <c r="A26" s="230" t="s">
        <v>22</v>
      </c>
      <c r="B26" s="221"/>
      <c r="C26" s="233"/>
      <c r="D26" s="233"/>
      <c r="E26" s="242"/>
      <c r="F26" s="242"/>
      <c r="G26" s="242"/>
      <c r="H26" s="242"/>
      <c r="I26" s="242"/>
      <c r="J26" s="242"/>
      <c r="K26" s="242"/>
      <c r="L26" s="242"/>
      <c r="M26" s="242"/>
      <c r="N26" s="242"/>
      <c r="O26" s="242"/>
      <c r="P26" s="242"/>
      <c r="Q26" s="242"/>
      <c r="R26" s="242"/>
      <c r="S26" s="242"/>
      <c r="T26" s="242"/>
      <c r="U26" s="242"/>
      <c r="V26" s="242"/>
      <c r="W26" s="242"/>
      <c r="X26" s="1696"/>
      <c r="Y26" s="1696"/>
      <c r="Z26" s="1553"/>
      <c r="AA26" s="1701"/>
      <c r="AB26" s="1553"/>
      <c r="AC26" s="1553"/>
      <c r="AD26" s="1701"/>
      <c r="AE26" s="1553"/>
      <c r="AF26" s="1572"/>
      <c r="AG26" s="1664"/>
      <c r="AH26" s="1681"/>
      <c r="AI26" s="1141"/>
      <c r="AJ26" s="3618"/>
    </row>
    <row r="27" spans="1:38" ht="16.5" customHeight="1">
      <c r="A27" s="221" t="s">
        <v>151</v>
      </c>
      <c r="B27" s="221"/>
      <c r="C27" s="233"/>
      <c r="D27" s="233"/>
      <c r="E27" s="242"/>
      <c r="F27" s="242"/>
      <c r="G27" s="242"/>
      <c r="H27" s="242"/>
      <c r="I27" s="242"/>
      <c r="J27" s="242"/>
      <c r="K27" s="242"/>
      <c r="L27" s="242"/>
      <c r="M27" s="242"/>
      <c r="N27" s="242"/>
      <c r="O27" s="242"/>
      <c r="P27" s="242"/>
      <c r="Q27" s="242"/>
      <c r="R27" s="242"/>
      <c r="S27" s="1695"/>
      <c r="T27" s="242"/>
      <c r="U27" s="242"/>
      <c r="V27" s="242"/>
      <c r="W27" s="242"/>
      <c r="X27" s="1696"/>
      <c r="Y27" s="1696"/>
      <c r="Z27" s="1553"/>
      <c r="AA27" s="1701"/>
      <c r="AB27" s="1553"/>
      <c r="AC27" s="1553"/>
      <c r="AD27" s="1701"/>
      <c r="AE27" s="1553"/>
      <c r="AF27" s="2193"/>
      <c r="AG27" s="1670"/>
      <c r="AH27" s="1681"/>
      <c r="AJ27" s="3618"/>
    </row>
    <row r="28" spans="1:38" ht="16.5" customHeight="1">
      <c r="A28" s="221" t="s">
        <v>217</v>
      </c>
      <c r="B28" s="221"/>
      <c r="C28" s="233">
        <f t="shared" ref="C28:C31" si="1">$AB28</f>
        <v>128.30000000000001</v>
      </c>
      <c r="D28" s="233"/>
      <c r="E28" s="233"/>
      <c r="F28" s="242"/>
      <c r="G28" s="233"/>
      <c r="H28" s="242"/>
      <c r="I28" s="233"/>
      <c r="J28" s="242"/>
      <c r="K28" s="233"/>
      <c r="L28" s="242"/>
      <c r="M28" s="233"/>
      <c r="N28" s="242"/>
      <c r="O28" s="233"/>
      <c r="P28" s="242"/>
      <c r="Q28" s="1695"/>
      <c r="R28" s="242"/>
      <c r="S28" s="1695"/>
      <c r="T28" s="242"/>
      <c r="U28" s="1695"/>
      <c r="V28" s="242"/>
      <c r="W28" s="1695"/>
      <c r="X28" s="1696"/>
      <c r="Y28" s="1695"/>
      <c r="Z28" s="1553"/>
      <c r="AA28" s="1701"/>
      <c r="AB28" s="2102">
        <v>128.30000000000001</v>
      </c>
      <c r="AC28" s="1553"/>
      <c r="AD28" s="1701"/>
      <c r="AE28" s="2102">
        <v>1.3999999999999944</v>
      </c>
      <c r="AF28" s="1665"/>
      <c r="AG28" s="1675"/>
      <c r="AH28" s="1681">
        <f>ROUND(SUM(AB28-AE28),1)</f>
        <v>126.9</v>
      </c>
      <c r="AJ28" s="3895">
        <f>ROUND(IF(AH28=0,0,AH28/ABS(AE28)),3)</f>
        <v>90.643000000000001</v>
      </c>
    </row>
    <row r="29" spans="1:38" ht="16.5" customHeight="1">
      <c r="A29" s="221" t="s">
        <v>178</v>
      </c>
      <c r="B29" s="221"/>
      <c r="C29" s="233">
        <f t="shared" si="1"/>
        <v>22.1</v>
      </c>
      <c r="D29" s="233"/>
      <c r="E29" s="233"/>
      <c r="F29" s="242"/>
      <c r="G29" s="233"/>
      <c r="H29" s="242"/>
      <c r="I29" s="233"/>
      <c r="J29" s="242"/>
      <c r="K29" s="233"/>
      <c r="L29" s="242"/>
      <c r="M29" s="233"/>
      <c r="N29" s="242"/>
      <c r="O29" s="233"/>
      <c r="P29" s="242"/>
      <c r="Q29" s="1695"/>
      <c r="R29" s="242"/>
      <c r="S29" s="1695"/>
      <c r="T29" s="242"/>
      <c r="U29" s="1695"/>
      <c r="V29" s="242"/>
      <c r="W29" s="1695"/>
      <c r="X29" s="1696"/>
      <c r="Y29" s="1695"/>
      <c r="Z29" s="1553"/>
      <c r="AA29" s="1701"/>
      <c r="AB29" s="2102">
        <v>22.1</v>
      </c>
      <c r="AC29" s="1553"/>
      <c r="AD29" s="1701"/>
      <c r="AE29" s="2102">
        <v>3.6000000000000014</v>
      </c>
      <c r="AF29" s="1572"/>
      <c r="AG29" s="1675"/>
      <c r="AH29" s="1681">
        <f>ROUND(SUM(AB29-AE29),1)</f>
        <v>18.5</v>
      </c>
      <c r="AJ29" s="3895">
        <f t="shared" ref="AJ29:AJ30" si="2">ROUND(IF(AH29=0,0,AH29/ABS(AE29)),3)</f>
        <v>5.1390000000000002</v>
      </c>
    </row>
    <row r="30" spans="1:38" ht="16.5" customHeight="1">
      <c r="A30" s="221" t="s">
        <v>154</v>
      </c>
      <c r="B30" s="221"/>
      <c r="C30" s="233">
        <f t="shared" si="1"/>
        <v>54.3</v>
      </c>
      <c r="D30" s="233"/>
      <c r="E30" s="233"/>
      <c r="F30" s="242"/>
      <c r="G30" s="233"/>
      <c r="H30" s="242"/>
      <c r="I30" s="233"/>
      <c r="J30" s="242"/>
      <c r="K30" s="233"/>
      <c r="L30" s="242"/>
      <c r="M30" s="233"/>
      <c r="N30" s="242"/>
      <c r="O30" s="233"/>
      <c r="P30" s="242"/>
      <c r="Q30" s="1695"/>
      <c r="R30" s="242"/>
      <c r="S30" s="1695"/>
      <c r="T30" s="242"/>
      <c r="U30" s="1695"/>
      <c r="V30" s="242"/>
      <c r="W30" s="1695"/>
      <c r="X30" s="1696"/>
      <c r="Y30" s="1695"/>
      <c r="Z30" s="1553"/>
      <c r="AA30" s="1701"/>
      <c r="AB30" s="2102">
        <v>54.3</v>
      </c>
      <c r="AC30" s="1553"/>
      <c r="AD30" s="1701"/>
      <c r="AE30" s="2102">
        <v>0.19999999999999574</v>
      </c>
      <c r="AF30" s="1667"/>
      <c r="AG30" s="1674"/>
      <c r="AH30" s="1681">
        <f>ROUND(SUM(AB30-AE30),1)</f>
        <v>54.1</v>
      </c>
      <c r="AJ30" s="3895">
        <f t="shared" si="2"/>
        <v>270.5</v>
      </c>
    </row>
    <row r="31" spans="1:38" ht="16.5" customHeight="1">
      <c r="A31" s="244" t="s">
        <v>218</v>
      </c>
      <c r="B31" s="221"/>
      <c r="C31" s="233">
        <f t="shared" si="1"/>
        <v>4967.1000000000004</v>
      </c>
      <c r="D31" s="233"/>
      <c r="E31" s="233"/>
      <c r="F31" s="242"/>
      <c r="G31" s="233"/>
      <c r="H31" s="242"/>
      <c r="I31" s="233"/>
      <c r="J31" s="242"/>
      <c r="K31" s="233"/>
      <c r="L31" s="242"/>
      <c r="M31" s="233"/>
      <c r="N31" s="242"/>
      <c r="O31" s="233"/>
      <c r="P31" s="242"/>
      <c r="Q31" s="1695"/>
      <c r="R31" s="242"/>
      <c r="S31" s="1695"/>
      <c r="T31" s="242"/>
      <c r="U31" s="1695"/>
      <c r="V31" s="242"/>
      <c r="W31" s="1695"/>
      <c r="X31" s="242"/>
      <c r="Y31" s="1695"/>
      <c r="Z31" s="233"/>
      <c r="AA31" s="234"/>
      <c r="AB31" s="2102">
        <v>4967.1000000000004</v>
      </c>
      <c r="AC31" s="1553"/>
      <c r="AD31" s="1701"/>
      <c r="AE31" s="2102">
        <v>4390.7</v>
      </c>
      <c r="AF31" s="1667"/>
      <c r="AG31" s="1675"/>
      <c r="AH31" s="1693">
        <f>ROUND(SUM(AB31-AE31),1)</f>
        <v>576.4</v>
      </c>
      <c r="AJ31" s="3623">
        <f>ROUND(IF(AH31=0,0,AH31/ABS(AE31)),3)</f>
        <v>0.13100000000000001</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697"/>
      <c r="X32" s="242"/>
      <c r="Y32" s="363"/>
      <c r="Z32" s="233"/>
      <c r="AA32" s="234"/>
      <c r="AB32" s="3206"/>
      <c r="AC32" s="1553"/>
      <c r="AD32" s="1701"/>
      <c r="AE32" s="3206"/>
      <c r="AF32" s="2196"/>
      <c r="AG32" s="1674"/>
      <c r="AH32" s="1681"/>
      <c r="AI32" s="1143"/>
      <c r="AJ32" s="3618"/>
    </row>
    <row r="33" spans="1:37" ht="16.5" customHeight="1">
      <c r="A33" s="230" t="s">
        <v>155</v>
      </c>
      <c r="B33" s="221"/>
      <c r="C33" s="243">
        <f>ROUND(SUM(C28:C32),1)</f>
        <v>5171.8</v>
      </c>
      <c r="D33" s="235"/>
      <c r="E33" s="243">
        <f>ROUND(SUM(E28:E32),1)</f>
        <v>0</v>
      </c>
      <c r="F33" s="243"/>
      <c r="G33" s="243">
        <f>ROUND(SUM(G28:G32),1)</f>
        <v>0</v>
      </c>
      <c r="H33" s="243"/>
      <c r="I33" s="243">
        <f>ROUND(SUM(I28:I32),1)</f>
        <v>0</v>
      </c>
      <c r="J33" s="243"/>
      <c r="K33" s="893">
        <f>ROUND(SUM(K28:K32),1)</f>
        <v>0</v>
      </c>
      <c r="L33" s="364"/>
      <c r="M33" s="893">
        <f>ROUND(SUM(M28:M32),1)</f>
        <v>0</v>
      </c>
      <c r="N33" s="243"/>
      <c r="O33" s="243">
        <f>ROUND(SUM(O28:O32),1)</f>
        <v>0</v>
      </c>
      <c r="P33" s="243"/>
      <c r="Q33" s="243">
        <f>ROUND(SUM(Q28:Q32),1)</f>
        <v>0</v>
      </c>
      <c r="R33" s="243"/>
      <c r="S33" s="243">
        <f>ROUND(SUM(S28:S32),1)</f>
        <v>0</v>
      </c>
      <c r="T33" s="243"/>
      <c r="U33" s="243">
        <f>ROUND(SUM(U28:U32),1)</f>
        <v>0</v>
      </c>
      <c r="V33" s="243"/>
      <c r="W33" s="3207">
        <f>ROUND(SUM(W28:W32),1)</f>
        <v>0</v>
      </c>
      <c r="X33" s="243"/>
      <c r="Y33" s="243">
        <f>ROUND(SUM(Y28:Y32),1)</f>
        <v>0</v>
      </c>
      <c r="Z33" s="235"/>
      <c r="AA33" s="236"/>
      <c r="AB33" s="3207">
        <f>ROUND(SUM(AB28:AB32),1)</f>
        <v>5171.8</v>
      </c>
      <c r="AC33" s="3208"/>
      <c r="AD33" s="3231"/>
      <c r="AE33" s="3207">
        <f>ROUND(SUM(AE28:AE32),1)</f>
        <v>4395.8999999999996</v>
      </c>
      <c r="AF33" s="1665"/>
      <c r="AG33" s="1664"/>
      <c r="AH33" s="3232">
        <f>ROUND(SUM(AH28:AH31),1)</f>
        <v>775.9</v>
      </c>
      <c r="AI33" s="1138"/>
      <c r="AJ33" s="3622">
        <f>ROUND(IF(AH33=0,0,AH33/ABS(AE33)),3)</f>
        <v>0.17699999999999999</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06"/>
      <c r="AC34" s="3209"/>
      <c r="AD34" s="1701"/>
      <c r="AE34" s="3206"/>
      <c r="AF34" s="1572"/>
      <c r="AG34" s="1664"/>
      <c r="AH34" s="1681"/>
      <c r="AJ34" s="3617"/>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53"/>
      <c r="AC35" s="3209"/>
      <c r="AD35" s="1701"/>
      <c r="AE35" s="1553"/>
      <c r="AF35" s="2193"/>
      <c r="AG35" s="2198"/>
      <c r="AH35" s="1681"/>
      <c r="AI35" s="1141"/>
      <c r="AJ35" s="3618"/>
    </row>
    <row r="36" spans="1:37" ht="16.5" customHeight="1">
      <c r="A36" s="230" t="s">
        <v>156</v>
      </c>
      <c r="B36" s="221"/>
      <c r="C36" s="233"/>
      <c r="D36" s="233"/>
      <c r="E36" s="242" t="s">
        <v>14</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53"/>
      <c r="AC36" s="3209"/>
      <c r="AD36" s="1701"/>
      <c r="AE36" s="1553"/>
      <c r="AF36" s="2199"/>
      <c r="AG36" s="2200"/>
      <c r="AH36" s="1681"/>
      <c r="AI36" s="1141"/>
      <c r="AJ36" s="3618"/>
    </row>
    <row r="37" spans="1:37" ht="16.5" customHeight="1">
      <c r="A37" s="230" t="s">
        <v>44</v>
      </c>
      <c r="B37" s="221"/>
      <c r="C37" s="243">
        <f>ROUND(C23-C33,1)</f>
        <v>-0.1</v>
      </c>
      <c r="D37" s="235"/>
      <c r="E37" s="243">
        <f>ROUND(E23-E33,1)</f>
        <v>0</v>
      </c>
      <c r="F37" s="243"/>
      <c r="G37" s="243">
        <f>ROUND(G23-G33,1)</f>
        <v>0</v>
      </c>
      <c r="H37" s="243"/>
      <c r="I37" s="243">
        <f>ROUND(I23-I33,1)</f>
        <v>0</v>
      </c>
      <c r="J37" s="243"/>
      <c r="K37" s="243">
        <f>ROUND(K23-K33,1)</f>
        <v>0</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207">
        <f>ROUND(AB23-AB33,1)</f>
        <v>-0.1</v>
      </c>
      <c r="AC37" s="3208"/>
      <c r="AD37" s="3231"/>
      <c r="AE37" s="3207">
        <f>ROUND(AE23-AE33,1)</f>
        <v>16.2</v>
      </c>
      <c r="AF37" s="2201"/>
      <c r="AG37" s="1702"/>
      <c r="AH37" s="3232">
        <f>ROUND(SUM(AH23-AH33),1)</f>
        <v>-16.3</v>
      </c>
      <c r="AI37" s="1138"/>
      <c r="AJ37" s="2111">
        <f>ROUND(IF(AE37=0,1,AH37/ABS(AE37)),3)</f>
        <v>-1.006</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06"/>
      <c r="AC38" s="3209"/>
      <c r="AD38" s="1701"/>
      <c r="AE38" s="3206"/>
      <c r="AF38" s="117"/>
      <c r="AG38" s="1702"/>
      <c r="AH38" s="1681"/>
      <c r="AJ38" s="3617"/>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53"/>
      <c r="AC39" s="1553"/>
      <c r="AD39" s="1701"/>
      <c r="AE39" s="1553"/>
      <c r="AG39" s="1670"/>
      <c r="AH39" s="1681"/>
      <c r="AJ39" s="3618"/>
    </row>
    <row r="40" spans="1:37" s="1705" customFormat="1" ht="16.5" customHeight="1">
      <c r="A40" s="1698" t="s">
        <v>45</v>
      </c>
      <c r="B40" s="1699"/>
      <c r="C40" s="233"/>
      <c r="D40" s="233"/>
      <c r="E40" s="242"/>
      <c r="F40" s="242"/>
      <c r="G40" s="242"/>
      <c r="H40" s="242"/>
      <c r="I40" s="242"/>
      <c r="J40" s="1696"/>
      <c r="K40" s="1700"/>
      <c r="L40" s="1696"/>
      <c r="M40" s="1700"/>
      <c r="N40" s="1696"/>
      <c r="O40" s="1696"/>
      <c r="P40" s="1696"/>
      <c r="Q40" s="1696"/>
      <c r="R40" s="1696"/>
      <c r="S40" s="1696"/>
      <c r="T40" s="1696"/>
      <c r="U40" s="1696"/>
      <c r="V40" s="1696"/>
      <c r="W40" s="1696"/>
      <c r="X40" s="1696"/>
      <c r="Y40" s="1696"/>
      <c r="Z40" s="1553"/>
      <c r="AA40" s="1701"/>
      <c r="AB40" s="1553"/>
      <c r="AC40" s="1553"/>
      <c r="AD40" s="1701"/>
      <c r="AE40" s="1553"/>
      <c r="AF40" s="140"/>
      <c r="AG40" s="1702"/>
      <c r="AH40" s="1703"/>
      <c r="AI40" s="1704"/>
      <c r="AJ40" s="3619"/>
    </row>
    <row r="41" spans="1:37" s="1705" customFormat="1" ht="16.5" customHeight="1">
      <c r="A41" s="1699" t="s">
        <v>180</v>
      </c>
      <c r="B41" s="1699"/>
      <c r="C41" s="233">
        <f t="shared" ref="C41:C42" si="3">$AB41</f>
        <v>3</v>
      </c>
      <c r="D41" s="1553"/>
      <c r="E41" s="233"/>
      <c r="F41" s="1696"/>
      <c r="G41" s="233"/>
      <c r="H41" s="3590"/>
      <c r="I41" s="233"/>
      <c r="J41" s="1696"/>
      <c r="K41" s="233"/>
      <c r="L41" s="1696"/>
      <c r="M41" s="1553"/>
      <c r="N41" s="1696"/>
      <c r="O41" s="233"/>
      <c r="P41" s="1696"/>
      <c r="Q41" s="2102"/>
      <c r="R41" s="1696"/>
      <c r="S41" s="2102"/>
      <c r="T41" s="1696"/>
      <c r="U41" s="2102"/>
      <c r="V41" s="1696"/>
      <c r="W41" s="2102"/>
      <c r="X41" s="1696"/>
      <c r="Y41" s="1695"/>
      <c r="Z41" s="1553"/>
      <c r="AA41" s="1701"/>
      <c r="AB41" s="2102">
        <v>3</v>
      </c>
      <c r="AC41" s="1553"/>
      <c r="AD41" s="1701"/>
      <c r="AE41" s="2102">
        <v>0</v>
      </c>
      <c r="AF41" s="140"/>
      <c r="AG41" s="1702"/>
      <c r="AH41" s="1681">
        <f>ROUND(SUM(AB41-AE41),1)</f>
        <v>3</v>
      </c>
      <c r="AI41" s="1654"/>
      <c r="AJ41" s="3664">
        <f>ROUND(IF(AE41=0,1,AH41/ABS(AE41)),3)</f>
        <v>1</v>
      </c>
    </row>
    <row r="42" spans="1:37" ht="16.5" customHeight="1">
      <c r="A42" s="221" t="s">
        <v>181</v>
      </c>
      <c r="B42" s="221"/>
      <c r="C42" s="233">
        <f t="shared" si="3"/>
        <v>0</v>
      </c>
      <c r="D42" s="233"/>
      <c r="E42" s="233"/>
      <c r="F42" s="242"/>
      <c r="G42" s="233"/>
      <c r="H42" s="1837"/>
      <c r="I42" s="233"/>
      <c r="J42" s="242"/>
      <c r="K42" s="233"/>
      <c r="L42" s="242"/>
      <c r="M42" s="233"/>
      <c r="N42" s="242"/>
      <c r="O42" s="233"/>
      <c r="P42" s="242"/>
      <c r="Q42" s="1695"/>
      <c r="R42" s="242"/>
      <c r="S42" s="1695"/>
      <c r="T42" s="242"/>
      <c r="U42" s="1695"/>
      <c r="V42" s="242"/>
      <c r="W42" s="1695"/>
      <c r="X42" s="242"/>
      <c r="Y42" s="1695"/>
      <c r="Z42" s="233"/>
      <c r="AA42" s="234"/>
      <c r="AB42" s="2102">
        <v>0</v>
      </c>
      <c r="AC42" s="1553"/>
      <c r="AD42" s="1701"/>
      <c r="AE42" s="2102">
        <v>0</v>
      </c>
      <c r="AF42" s="140"/>
      <c r="AG42" s="1702"/>
      <c r="AH42" s="3233">
        <f>-ROUND(SUM(AB42-AE42),1)</f>
        <v>0</v>
      </c>
      <c r="AJ42" s="3665">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06"/>
      <c r="AC43" s="1553"/>
      <c r="AD43" s="1701"/>
      <c r="AE43" s="3206"/>
      <c r="AF43" s="140"/>
      <c r="AG43" s="1702"/>
      <c r="AH43" s="3228"/>
      <c r="AJ43" s="3620"/>
    </row>
    <row r="44" spans="1:37" ht="16.5" customHeight="1">
      <c r="A44" s="230" t="s">
        <v>206</v>
      </c>
      <c r="B44" s="221"/>
      <c r="C44" s="365">
        <f>ROUND(SUM(C41:C43),1)</f>
        <v>3</v>
      </c>
      <c r="D44" s="235"/>
      <c r="E44" s="365">
        <f>ROUND(SUM(E41:E43),1)</f>
        <v>0</v>
      </c>
      <c r="F44" s="243"/>
      <c r="G44" s="365">
        <f>ROUND(SUM(G41:G43),1)</f>
        <v>0</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10">
        <f>ROUND(SUM(AB41+AB42),1)</f>
        <v>3</v>
      </c>
      <c r="AC44" s="3208"/>
      <c r="AD44" s="3231"/>
      <c r="AE44" s="3210">
        <f>ROUND(SUM(AE41+AE42),1)</f>
        <v>0</v>
      </c>
      <c r="AF44" s="107"/>
      <c r="AG44" s="1670"/>
      <c r="AH44" s="3232">
        <f>ROUND(SUM(AH41:AH42),1)</f>
        <v>3</v>
      </c>
      <c r="AI44" s="1145"/>
      <c r="AJ44" s="3666">
        <f>ROUND(IF(AE44=0,1,AH44/ABS(AE44)),3)</f>
        <v>1</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06"/>
      <c r="AC45" s="1553"/>
      <c r="AD45" s="1701"/>
      <c r="AE45" s="3206"/>
      <c r="AG45" s="1670"/>
      <c r="AH45" s="3228"/>
      <c r="AJ45" s="3621"/>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53"/>
      <c r="AC46" s="1553"/>
      <c r="AD46" s="1701"/>
      <c r="AE46" s="1553"/>
      <c r="AG46" s="1670"/>
      <c r="AJ46" s="3621"/>
    </row>
    <row r="47" spans="1:37" ht="16.5" customHeight="1">
      <c r="A47" s="230" t="s">
        <v>164</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53"/>
      <c r="AC47" s="1553"/>
      <c r="AD47" s="1701"/>
      <c r="AE47" s="1553"/>
      <c r="AG47" s="1670"/>
      <c r="AJ47" s="3621"/>
    </row>
    <row r="48" spans="1:37" ht="16.5" customHeight="1">
      <c r="A48" s="230" t="s">
        <v>225</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53"/>
      <c r="AC48" s="1553"/>
      <c r="AD48" s="1701"/>
      <c r="AE48" s="1553"/>
      <c r="AG48" s="1670"/>
      <c r="AJ48" s="3621"/>
    </row>
    <row r="49" spans="1:39" ht="16.5" customHeight="1">
      <c r="A49" s="230" t="s">
        <v>166</v>
      </c>
      <c r="B49" s="221"/>
      <c r="C49" s="243">
        <f>ROUND(C37+C44,1)</f>
        <v>2.9</v>
      </c>
      <c r="D49" s="235"/>
      <c r="E49" s="243">
        <f>ROUND(E37+E44,1)</f>
        <v>0</v>
      </c>
      <c r="F49" s="243"/>
      <c r="G49" s="243">
        <f>ROUND(G37+G44,1)</f>
        <v>0</v>
      </c>
      <c r="H49" s="243"/>
      <c r="I49" s="243">
        <f>ROUND(I37+I44,1)</f>
        <v>0</v>
      </c>
      <c r="J49" s="243"/>
      <c r="K49" s="893">
        <f>ROUND(K37+K44,1)</f>
        <v>0</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207">
        <f>ROUND(AB37+AB44,1)</f>
        <v>2.9</v>
      </c>
      <c r="AC49" s="3208"/>
      <c r="AD49" s="3231"/>
      <c r="AE49" s="3207">
        <f>ROUND(AE37+AE44,1)</f>
        <v>16.2</v>
      </c>
      <c r="AG49" s="1670"/>
      <c r="AH49" s="3232">
        <f>ROUND(SUM(AH37+AH44),1)</f>
        <v>-13.3</v>
      </c>
      <c r="AI49" s="1118"/>
      <c r="AJ49" s="2111">
        <f>ROUND(IF(AE49=0,1,AH49/ABS(AE49)),3)</f>
        <v>-0.82099999999999995</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11"/>
      <c r="AC50" s="1698"/>
      <c r="AD50" s="3234"/>
      <c r="AE50" s="3211"/>
      <c r="AG50" s="1670"/>
      <c r="AJ50" s="3617"/>
      <c r="AK50" s="360"/>
      <c r="AL50" s="360"/>
      <c r="AM50" s="360"/>
    </row>
    <row r="51" spans="1:39" ht="16.5" customHeight="1" thickBot="1">
      <c r="A51" s="230" t="s">
        <v>140</v>
      </c>
      <c r="B51" s="221"/>
      <c r="C51" s="228">
        <f>ROUND(C16+C49,1)</f>
        <v>330.9</v>
      </c>
      <c r="D51" s="228"/>
      <c r="E51" s="228">
        <f>ROUND(E16+E49,1)</f>
        <v>0</v>
      </c>
      <c r="F51" s="359"/>
      <c r="G51" s="228">
        <f>ROUND(G16+G49,1)</f>
        <v>0</v>
      </c>
      <c r="H51" s="359"/>
      <c r="I51" s="895">
        <f>ROUND(I16+I49,1)</f>
        <v>0</v>
      </c>
      <c r="J51" s="372"/>
      <c r="K51" s="228">
        <f>ROUND(K16+K49,1)</f>
        <v>0</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205">
        <f>ROUND(AB16+AB49,1)</f>
        <v>330.9</v>
      </c>
      <c r="AC51" s="3205"/>
      <c r="AD51" s="3226"/>
      <c r="AE51" s="3205">
        <f>ROUND(AE16+AE49,1)</f>
        <v>45.9</v>
      </c>
      <c r="AG51" s="1670"/>
      <c r="AH51" s="3235">
        <f>ROUND(SUM(AB51-AE51),1)</f>
        <v>285</v>
      </c>
      <c r="AI51" s="1144"/>
      <c r="AJ51" s="1146">
        <f>ROUND(IF(AH51=0,0,AH51/ABS(AE51)),3)</f>
        <v>6.2089999999999996</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12"/>
      <c r="AC52" s="3213"/>
      <c r="AD52" s="3213"/>
      <c r="AE52" s="3212"/>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765625" defaultRowHeight="16.5" customHeight="1"/>
  <cols>
    <col min="1" max="1" width="48.4609375" style="208" customWidth="1"/>
    <col min="2" max="2" width="11" style="208" customWidth="1"/>
    <col min="3" max="3" width="1.765625" style="208" customWidth="1"/>
    <col min="4" max="4" width="11" style="208" customWidth="1"/>
    <col min="5" max="5" width="1.765625" style="208" customWidth="1"/>
    <col min="6" max="6" width="11.07421875" style="208" customWidth="1"/>
    <col min="7" max="7" width="1.765625" style="208" customWidth="1"/>
    <col min="8" max="8" width="11" style="208" customWidth="1"/>
    <col min="9" max="9" width="1.765625" style="208" customWidth="1"/>
    <col min="10" max="10" width="10.4609375" style="208" customWidth="1"/>
    <col min="11" max="11" width="1.765625" style="208" customWidth="1"/>
    <col min="12" max="12" width="13.07421875" style="208" customWidth="1"/>
    <col min="13" max="13" width="1.765625" style="208" customWidth="1"/>
    <col min="14" max="14" width="11.07421875" style="208" customWidth="1"/>
    <col min="15" max="15" width="1.765625" style="208" customWidth="1"/>
    <col min="16" max="16" width="12.07421875" style="208" customWidth="1"/>
    <col min="17" max="17" width="1.765625" style="208" customWidth="1"/>
    <col min="18" max="18" width="12" style="208" customWidth="1"/>
    <col min="19" max="19" width="1.765625" style="208" customWidth="1"/>
    <col min="20" max="20" width="11.07421875" style="208" customWidth="1"/>
    <col min="21" max="21" width="1.765625" style="208" customWidth="1"/>
    <col min="22" max="22" width="11.765625" style="208" customWidth="1"/>
    <col min="23" max="23" width="1.765625" style="208" customWidth="1"/>
    <col min="24" max="24" width="11.07421875" style="1082" customWidth="1"/>
    <col min="25" max="26" width="1.765625" style="1082" customWidth="1"/>
    <col min="27" max="27" width="11.53515625" style="1082" customWidth="1"/>
    <col min="28" max="29" width="1.765625" style="1082" customWidth="1"/>
    <col min="30" max="30" width="11.53515625" style="1082" customWidth="1"/>
    <col min="31" max="31" width="1.765625" style="2202" customWidth="1"/>
    <col min="32" max="32" width="2.4609375" style="3214" customWidth="1"/>
    <col min="33" max="33" width="10.07421875" style="1654" bestFit="1" customWidth="1"/>
    <col min="34" max="34" width="1.765625" style="1127" customWidth="1"/>
    <col min="35" max="35" width="11.07421875" style="1126" customWidth="1"/>
    <col min="36" max="16384" width="8.765625" style="208"/>
  </cols>
  <sheetData>
    <row r="1" spans="1:251" ht="16.5" customHeight="1">
      <c r="A1" s="640" t="s">
        <v>885</v>
      </c>
    </row>
    <row r="2" spans="1:251" ht="16.5" customHeight="1">
      <c r="A2" s="818"/>
    </row>
    <row r="3" spans="1:251" ht="20.25" customHeight="1">
      <c r="A3" s="3532" t="s">
        <v>0</v>
      </c>
      <c r="B3" s="319"/>
      <c r="C3" s="374"/>
      <c r="D3" s="374"/>
      <c r="E3" s="374"/>
      <c r="F3" s="374"/>
      <c r="G3" s="374"/>
      <c r="H3" s="374"/>
      <c r="I3" s="374"/>
      <c r="J3" s="374"/>
      <c r="K3" s="374"/>
      <c r="L3" s="374"/>
      <c r="M3" s="374"/>
      <c r="N3" s="374"/>
      <c r="O3" s="374"/>
      <c r="P3" s="374"/>
      <c r="Q3" s="374"/>
      <c r="R3" s="374"/>
      <c r="S3" s="374"/>
      <c r="T3" s="374"/>
      <c r="U3" s="374"/>
      <c r="V3" s="374"/>
      <c r="W3" s="374"/>
      <c r="X3" s="3236"/>
      <c r="Y3" s="3236"/>
      <c r="Z3" s="3236"/>
      <c r="AA3" s="3236"/>
      <c r="AB3" s="3236"/>
      <c r="AC3" s="3236"/>
      <c r="AD3" s="3236"/>
      <c r="AE3" s="107"/>
      <c r="AI3" s="269" t="s">
        <v>221</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32" t="s">
        <v>219</v>
      </c>
      <c r="B4" s="319"/>
      <c r="C4" s="374"/>
      <c r="D4" s="374"/>
      <c r="E4" s="374"/>
      <c r="F4" s="374"/>
      <c r="G4" s="374"/>
      <c r="H4" s="319" t="s">
        <v>14</v>
      </c>
      <c r="I4" s="374"/>
      <c r="J4" s="374"/>
      <c r="K4" s="374"/>
      <c r="L4" s="374"/>
      <c r="M4" s="374"/>
      <c r="N4" s="374"/>
      <c r="O4" s="374"/>
      <c r="P4" s="374"/>
      <c r="Q4" s="374"/>
      <c r="R4" s="374"/>
      <c r="S4" s="374"/>
      <c r="T4" s="374"/>
      <c r="U4" s="374"/>
      <c r="V4" s="374"/>
      <c r="W4" s="374"/>
      <c r="X4" s="3236" t="s">
        <v>14</v>
      </c>
      <c r="Y4" s="3236"/>
      <c r="Z4" s="3236"/>
      <c r="AA4" s="3236"/>
      <c r="AB4" s="3236"/>
      <c r="AC4" s="3236"/>
      <c r="AD4" s="3236"/>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32" t="s">
        <v>220</v>
      </c>
      <c r="B5" s="319"/>
      <c r="C5" s="374"/>
      <c r="D5" s="374"/>
      <c r="E5" s="374"/>
      <c r="F5" s="374"/>
      <c r="G5" s="374"/>
      <c r="H5" s="374"/>
      <c r="I5" s="374"/>
      <c r="J5" s="374"/>
      <c r="K5" s="374"/>
      <c r="L5" s="374"/>
      <c r="M5" s="374"/>
      <c r="N5" s="374"/>
      <c r="O5" s="374"/>
      <c r="P5" s="374"/>
      <c r="Q5" s="374"/>
      <c r="R5" s="374"/>
      <c r="S5" s="374"/>
      <c r="T5" s="374"/>
      <c r="U5" s="374"/>
      <c r="V5" s="374"/>
      <c r="W5" s="374"/>
      <c r="X5" s="3236"/>
      <c r="Y5" s="3236"/>
      <c r="Z5" s="3236"/>
      <c r="AB5" s="3237"/>
      <c r="AC5" s="3237"/>
      <c r="AD5" s="3237"/>
      <c r="AE5" s="3215"/>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33" t="str">
        <f>'Cashflow Governmental'!A6</f>
        <v xml:space="preserve">FISCAL YEAR 2021-2022   </v>
      </c>
      <c r="B6" s="319"/>
      <c r="C6" s="374"/>
      <c r="D6" s="374"/>
      <c r="E6" s="374"/>
      <c r="F6" s="374"/>
      <c r="G6" s="374"/>
      <c r="H6" s="374"/>
      <c r="I6" s="374"/>
      <c r="J6" s="374"/>
      <c r="K6" s="374"/>
      <c r="L6" s="374"/>
      <c r="M6" s="374"/>
      <c r="N6" s="374"/>
      <c r="O6" s="374"/>
      <c r="P6" s="374"/>
      <c r="Q6" s="374"/>
      <c r="R6" s="374"/>
      <c r="S6" s="374"/>
      <c r="T6" s="374"/>
      <c r="U6" s="374"/>
      <c r="V6" s="374"/>
      <c r="W6" s="374"/>
      <c r="X6" s="3236"/>
      <c r="Y6" s="3236"/>
      <c r="Z6" s="3236"/>
      <c r="AA6" s="3236"/>
      <c r="AB6" s="3236"/>
      <c r="AC6" s="3236"/>
      <c r="AD6" s="3236"/>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32" t="s">
        <v>1280</v>
      </c>
      <c r="B7" s="319"/>
      <c r="C7" s="374"/>
      <c r="D7" s="374"/>
      <c r="E7" s="374"/>
      <c r="F7" s="374"/>
      <c r="G7" s="374"/>
      <c r="H7" s="374"/>
      <c r="I7" s="374"/>
      <c r="J7" s="374"/>
      <c r="K7" s="374"/>
      <c r="L7" s="374"/>
      <c r="M7" s="374"/>
      <c r="N7" s="374"/>
      <c r="O7" s="374"/>
      <c r="P7" s="374"/>
      <c r="Q7" s="374"/>
      <c r="R7" s="374"/>
      <c r="S7" s="374"/>
      <c r="T7" s="374"/>
      <c r="U7" s="374"/>
      <c r="V7" s="374"/>
      <c r="W7" s="374"/>
      <c r="X7" s="3236"/>
      <c r="Y7" s="3236"/>
      <c r="Z7" s="3236"/>
      <c r="AA7" s="3236"/>
      <c r="AB7" s="3236"/>
      <c r="AC7" s="3236"/>
      <c r="AD7" s="3236"/>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08"/>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38"/>
      <c r="Y9" s="3238"/>
      <c r="Z9" s="3238"/>
      <c r="AA9" s="3238"/>
      <c r="AB9" s="3238"/>
      <c r="AC9" s="3238"/>
      <c r="AD9" s="3238"/>
      <c r="AE9" s="1082"/>
      <c r="AF9" s="3216"/>
      <c r="AG9" s="3216"/>
      <c r="AH9" s="1128"/>
      <c r="AI9" s="1128"/>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39"/>
      <c r="Y10" s="3239"/>
      <c r="Z10" s="3240"/>
      <c r="AA10" s="3946" t="s">
        <v>1422</v>
      </c>
      <c r="AB10" s="3947"/>
      <c r="AC10" s="3947"/>
      <c r="AD10" s="3947"/>
      <c r="AE10" s="3947"/>
      <c r="AF10" s="3947"/>
      <c r="AG10" s="3947"/>
      <c r="AH10" s="3947"/>
      <c r="AI10" s="3947"/>
    </row>
    <row r="11" spans="1:251" ht="16.5" customHeight="1">
      <c r="A11" s="245"/>
      <c r="B11" s="763" t="str">
        <f>'Cashflow Governmental'!C13</f>
        <v>2021</v>
      </c>
      <c r="C11" s="249"/>
      <c r="D11" s="249"/>
      <c r="E11" s="249"/>
      <c r="F11" s="249"/>
      <c r="G11" s="249"/>
      <c r="H11" s="249"/>
      <c r="I11" s="249"/>
      <c r="J11" s="249"/>
      <c r="K11" s="249"/>
      <c r="L11" s="249"/>
      <c r="M11" s="249"/>
      <c r="N11" s="249"/>
      <c r="O11" s="249"/>
      <c r="P11" s="249"/>
      <c r="Q11" s="249"/>
      <c r="R11" s="249"/>
      <c r="S11" s="249"/>
      <c r="T11" s="763">
        <f>'Cashflow Governmental'!U13</f>
        <v>2022</v>
      </c>
      <c r="U11" s="249"/>
      <c r="V11" s="249"/>
      <c r="W11" s="249"/>
      <c r="X11" s="1645"/>
      <c r="Y11" s="1645"/>
      <c r="Z11" s="3240"/>
      <c r="AA11" s="3240"/>
      <c r="AB11" s="3240"/>
      <c r="AC11" s="3240"/>
      <c r="AD11" s="3240"/>
      <c r="AE11" s="3218"/>
      <c r="AF11" s="3219"/>
      <c r="AG11" s="3222" t="s">
        <v>7</v>
      </c>
      <c r="AH11" s="1130"/>
      <c r="AI11" s="1131" t="s">
        <v>8</v>
      </c>
    </row>
    <row r="12" spans="1:251" ht="16.5" customHeight="1">
      <c r="A12" s="245"/>
      <c r="B12" s="765" t="s">
        <v>123</v>
      </c>
      <c r="C12" s="249"/>
      <c r="D12" s="765" t="s">
        <v>124</v>
      </c>
      <c r="E12" s="249"/>
      <c r="F12" s="765" t="s">
        <v>125</v>
      </c>
      <c r="G12" s="249"/>
      <c r="H12" s="765" t="s">
        <v>126</v>
      </c>
      <c r="I12" s="249"/>
      <c r="J12" s="765" t="s">
        <v>127</v>
      </c>
      <c r="K12" s="249"/>
      <c r="L12" s="763" t="s">
        <v>142</v>
      </c>
      <c r="M12" s="249"/>
      <c r="N12" s="763" t="s">
        <v>143</v>
      </c>
      <c r="O12" s="249"/>
      <c r="P12" s="765" t="s">
        <v>130</v>
      </c>
      <c r="Q12" s="249"/>
      <c r="R12" s="765" t="s">
        <v>131</v>
      </c>
      <c r="S12" s="249"/>
      <c r="T12" s="765" t="s">
        <v>132</v>
      </c>
      <c r="U12" s="249"/>
      <c r="V12" s="765" t="s">
        <v>133</v>
      </c>
      <c r="W12" s="249"/>
      <c r="X12" s="3241" t="s">
        <v>184</v>
      </c>
      <c r="Y12" s="1645"/>
      <c r="Z12" s="1645"/>
      <c r="AA12" s="3242">
        <f>'Cashflow Governmental'!AB14</f>
        <v>2021</v>
      </c>
      <c r="AB12" s="1645" t="s">
        <v>14</v>
      </c>
      <c r="AC12" s="1645"/>
      <c r="AD12" s="3242">
        <f>'Cashflow Governmental'!AE14</f>
        <v>2020</v>
      </c>
      <c r="AE12" s="3257"/>
      <c r="AF12" s="3258"/>
      <c r="AG12" s="3225" t="s">
        <v>11</v>
      </c>
      <c r="AH12" s="1133"/>
      <c r="AI12" s="1132" t="s">
        <v>12</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43"/>
      <c r="Y13" s="3244"/>
      <c r="Z13" s="3244"/>
      <c r="AA13" s="3243"/>
      <c r="AB13" s="3244"/>
      <c r="AC13" s="3244"/>
      <c r="AD13" s="3243"/>
      <c r="AE13" s="3220"/>
      <c r="AF13" s="1652"/>
    </row>
    <row r="14" spans="1:251" ht="16.5" customHeight="1">
      <c r="A14" s="320" t="s">
        <v>135</v>
      </c>
      <c r="B14" s="2133">
        <v>-363.5</v>
      </c>
      <c r="C14" s="377"/>
      <c r="D14" s="377" t="s">
        <v>14</v>
      </c>
      <c r="E14" s="377"/>
      <c r="F14" s="377" t="s">
        <v>14</v>
      </c>
      <c r="G14" s="377"/>
      <c r="H14" s="377" t="s">
        <v>14</v>
      </c>
      <c r="I14" s="377"/>
      <c r="J14" s="377" t="s">
        <v>14</v>
      </c>
      <c r="K14" s="377"/>
      <c r="L14" s="377" t="s">
        <v>14</v>
      </c>
      <c r="M14" s="377"/>
      <c r="N14" s="377" t="s">
        <v>14</v>
      </c>
      <c r="O14" s="377"/>
      <c r="P14" s="377" t="s">
        <v>14</v>
      </c>
      <c r="Q14" s="377"/>
      <c r="R14" s="377" t="s">
        <v>14</v>
      </c>
      <c r="S14" s="377"/>
      <c r="T14" s="377" t="s">
        <v>14</v>
      </c>
      <c r="U14" s="377"/>
      <c r="V14" s="377" t="s">
        <v>14</v>
      </c>
      <c r="W14" s="377"/>
      <c r="X14" s="1647" t="s">
        <v>14</v>
      </c>
      <c r="Y14" s="1647"/>
      <c r="Z14" s="3245"/>
      <c r="AA14" s="1647">
        <f>B14</f>
        <v>-363.5</v>
      </c>
      <c r="AB14" s="3246"/>
      <c r="AC14" s="2199"/>
      <c r="AD14" s="2133">
        <v>-297.5</v>
      </c>
      <c r="AE14" s="3223"/>
      <c r="AF14" s="3259"/>
      <c r="AG14" s="1653">
        <f>ROUND(SUM(AA14-AD14),1)</f>
        <v>-66</v>
      </c>
      <c r="AI14" s="1363">
        <f>-ROUND(IF(AG14=0,0,AG14/(AD14)),3)</f>
        <v>-0.222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23"/>
      <c r="Y15" s="3223"/>
      <c r="Z15" s="3247"/>
      <c r="AA15" s="3223"/>
      <c r="AB15" s="3248"/>
      <c r="AC15" s="3249"/>
      <c r="AD15" s="3223"/>
      <c r="AE15" s="3223"/>
      <c r="AF15" s="3259"/>
      <c r="AG15" s="3228"/>
      <c r="AI15" s="1127"/>
    </row>
    <row r="16" spans="1:251" ht="16.5" customHeight="1">
      <c r="A16" s="249" t="s">
        <v>13</v>
      </c>
      <c r="B16" s="379"/>
      <c r="C16" s="379"/>
      <c r="D16" s="379"/>
      <c r="E16" s="379"/>
      <c r="F16" s="379"/>
      <c r="G16" s="379"/>
      <c r="H16" s="379"/>
      <c r="I16" s="379"/>
      <c r="J16" s="379"/>
      <c r="K16" s="379"/>
      <c r="L16" s="379"/>
      <c r="M16" s="379"/>
      <c r="N16" s="237"/>
      <c r="O16" s="379"/>
      <c r="P16" s="379"/>
      <c r="Q16" s="379"/>
      <c r="R16" s="379"/>
      <c r="S16" s="379"/>
      <c r="T16" s="379"/>
      <c r="U16" s="379"/>
      <c r="V16" s="379"/>
      <c r="W16" s="379"/>
      <c r="X16" s="3223"/>
      <c r="Y16" s="3223"/>
      <c r="Z16" s="3247"/>
      <c r="AA16" s="3223"/>
      <c r="AB16" s="3248"/>
      <c r="AC16" s="3249"/>
      <c r="AD16" s="3223"/>
      <c r="AE16" s="1680"/>
      <c r="AF16" s="1664"/>
      <c r="AG16" s="1681"/>
      <c r="AI16" s="1140"/>
    </row>
    <row r="17" spans="1:36" s="1082" customFormat="1" ht="16.5" customHeight="1">
      <c r="A17" s="193" t="s">
        <v>177</v>
      </c>
      <c r="B17" s="237">
        <f>$AA17</f>
        <v>55.2</v>
      </c>
      <c r="C17" s="237"/>
      <c r="D17" s="237"/>
      <c r="E17" s="237"/>
      <c r="F17" s="237"/>
      <c r="G17" s="237"/>
      <c r="H17" s="237"/>
      <c r="I17" s="1572"/>
      <c r="J17" s="237"/>
      <c r="K17" s="1572"/>
      <c r="L17" s="237"/>
      <c r="M17" s="1572"/>
      <c r="N17" s="237"/>
      <c r="O17" s="1572"/>
      <c r="P17" s="1569"/>
      <c r="Q17" s="1572"/>
      <c r="R17" s="1569"/>
      <c r="S17" s="1572"/>
      <c r="T17" s="1569"/>
      <c r="U17" s="1572"/>
      <c r="V17" s="1569"/>
      <c r="W17" s="1572"/>
      <c r="X17" s="1569"/>
      <c r="Y17" s="1572"/>
      <c r="Z17" s="1691"/>
      <c r="AA17" s="3250">
        <v>55.2</v>
      </c>
      <c r="AB17" s="3251"/>
      <c r="AC17" s="1665"/>
      <c r="AD17" s="3250">
        <v>25.2</v>
      </c>
      <c r="AE17" s="1692"/>
      <c r="AF17" s="1664"/>
      <c r="AG17" s="1693">
        <f>ROUND(SUM(AA17-AD17),1)</f>
        <v>30</v>
      </c>
      <c r="AH17" s="1654"/>
      <c r="AI17" s="1694">
        <f>ROUND(IF(AG17=0,0,AG17/ABS(AD17)),3)</f>
        <v>1.19</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192"/>
      <c r="Y18" s="1572"/>
      <c r="Z18" s="1691"/>
      <c r="AA18" s="1018"/>
      <c r="AB18" s="3251"/>
      <c r="AC18" s="1665"/>
      <c r="AD18" s="1018"/>
      <c r="AE18" s="1665"/>
      <c r="AF18" s="1664"/>
      <c r="AG18" s="1681"/>
      <c r="AI18" s="1127"/>
    </row>
    <row r="19" spans="1:36" ht="16.5" customHeight="1">
      <c r="A19" s="249" t="s">
        <v>149</v>
      </c>
      <c r="B19" s="382">
        <f>ROUND(SUM(B17),1)</f>
        <v>55.2</v>
      </c>
      <c r="C19" s="382"/>
      <c r="D19" s="382">
        <f>ROUND(SUM(D17),1)</f>
        <v>0</v>
      </c>
      <c r="E19" s="382"/>
      <c r="F19" s="382">
        <f>ROUND(SUM(F17),1)</f>
        <v>0</v>
      </c>
      <c r="G19" s="382"/>
      <c r="H19" s="382">
        <f>ROUND(SUM(H17),1)</f>
        <v>0</v>
      </c>
      <c r="I19" s="382"/>
      <c r="J19" s="382">
        <f>ROUND(SUM(J17),1)</f>
        <v>0</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194">
        <f>ROUND(SUM(X17),1)</f>
        <v>0</v>
      </c>
      <c r="Y19" s="2194"/>
      <c r="Z19" s="2195"/>
      <c r="AA19" s="2194">
        <f>ROUND(SUM(AA17),1)</f>
        <v>55.2</v>
      </c>
      <c r="AB19" s="3252"/>
      <c r="AC19" s="3253"/>
      <c r="AD19" s="2194">
        <f>ROUND(SUM(AD17),1)</f>
        <v>25.2</v>
      </c>
      <c r="AE19" s="1572"/>
      <c r="AF19" s="1664"/>
      <c r="AG19" s="3232">
        <f>ROUND(SUM(AG17),1)</f>
        <v>30</v>
      </c>
      <c r="AH19" s="1138"/>
      <c r="AI19" s="1139">
        <f>ROUND(IF(AG19=0,0,AG19/ABS(AD19)),3)</f>
        <v>1.19</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192"/>
      <c r="Y20" s="1572"/>
      <c r="Z20" s="1691"/>
      <c r="AA20" s="2192"/>
      <c r="AB20" s="3251"/>
      <c r="AC20" s="1665"/>
      <c r="AD20" s="2192"/>
      <c r="AE20" s="1572"/>
      <c r="AF20" s="1664"/>
      <c r="AG20" s="1681"/>
      <c r="AI20" s="1127"/>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72"/>
      <c r="Y21" s="1572"/>
      <c r="Z21" s="1691"/>
      <c r="AA21" s="1572"/>
      <c r="AB21" s="3251"/>
      <c r="AC21" s="1665"/>
      <c r="AD21" s="1572"/>
      <c r="AE21" s="1569"/>
      <c r="AF21" s="1670"/>
      <c r="AG21" s="1681"/>
      <c r="AI21" s="1140"/>
    </row>
    <row r="22" spans="1:36" ht="16.5" customHeight="1">
      <c r="A22" s="249" t="s">
        <v>22</v>
      </c>
      <c r="B22" s="237"/>
      <c r="C22" s="237"/>
      <c r="D22" s="237"/>
      <c r="E22" s="237"/>
      <c r="F22" s="237"/>
      <c r="G22" s="237"/>
      <c r="H22" s="237"/>
      <c r="I22" s="237"/>
      <c r="J22" s="237"/>
      <c r="K22" s="237"/>
      <c r="L22" s="237"/>
      <c r="M22" s="237"/>
      <c r="N22" s="237"/>
      <c r="O22" s="237"/>
      <c r="P22" s="237"/>
      <c r="Q22" s="237"/>
      <c r="R22" s="237"/>
      <c r="S22" s="237"/>
      <c r="T22" s="237"/>
      <c r="U22" s="237"/>
      <c r="V22" s="237"/>
      <c r="W22" s="237"/>
      <c r="X22" s="1572"/>
      <c r="Y22" s="1572"/>
      <c r="Z22" s="1691"/>
      <c r="AA22" s="1572"/>
      <c r="AB22" s="3251"/>
      <c r="AC22" s="1665"/>
      <c r="AD22" s="1572"/>
      <c r="AE22" s="1667"/>
      <c r="AF22" s="1670"/>
      <c r="AG22" s="1681"/>
      <c r="AH22" s="1141"/>
      <c r="AI22" s="1140"/>
    </row>
    <row r="23" spans="1:36" ht="16.5" customHeight="1">
      <c r="A23" s="149" t="s">
        <v>151</v>
      </c>
      <c r="B23" s="237"/>
      <c r="C23" s="237"/>
      <c r="D23" s="237"/>
      <c r="E23" s="237"/>
      <c r="F23" s="237"/>
      <c r="G23" s="237"/>
      <c r="H23" s="237"/>
      <c r="I23" s="237"/>
      <c r="J23" s="237"/>
      <c r="K23" s="237"/>
      <c r="L23" s="237"/>
      <c r="M23" s="237"/>
      <c r="N23" s="237"/>
      <c r="O23" s="237"/>
      <c r="P23" s="237"/>
      <c r="Q23" s="237"/>
      <c r="R23" s="237"/>
      <c r="S23" s="237"/>
      <c r="T23" s="237"/>
      <c r="U23" s="237"/>
      <c r="V23" s="237"/>
      <c r="W23" s="237"/>
      <c r="X23" s="1572" t="s">
        <v>14</v>
      </c>
      <c r="Y23" s="1572"/>
      <c r="Z23" s="1691"/>
      <c r="AA23" s="1667"/>
      <c r="AB23" s="3251"/>
      <c r="AC23" s="1665"/>
      <c r="AD23" s="1667"/>
      <c r="AE23" s="2190"/>
      <c r="AF23" s="1670"/>
      <c r="AG23" s="1681"/>
      <c r="AI23" s="1140"/>
    </row>
    <row r="24" spans="1:36" ht="16.5" customHeight="1">
      <c r="A24" s="149" t="s">
        <v>217</v>
      </c>
      <c r="B24" s="237">
        <f t="shared" ref="B24:B26" si="0">$AA24</f>
        <v>9.6999999999999993</v>
      </c>
      <c r="C24" s="237"/>
      <c r="D24" s="237"/>
      <c r="E24" s="237"/>
      <c r="F24" s="237"/>
      <c r="G24" s="237"/>
      <c r="H24" s="237"/>
      <c r="I24" s="1572"/>
      <c r="J24" s="237"/>
      <c r="K24" s="1572"/>
      <c r="L24" s="237"/>
      <c r="M24" s="1572"/>
      <c r="N24" s="1569"/>
      <c r="O24" s="1572"/>
      <c r="P24" s="1569"/>
      <c r="Q24" s="1572"/>
      <c r="R24" s="1569"/>
      <c r="S24" s="1572"/>
      <c r="T24" s="1569"/>
      <c r="U24" s="1572"/>
      <c r="V24" s="1569"/>
      <c r="W24" s="1572"/>
      <c r="X24" s="1569"/>
      <c r="Y24" s="1572"/>
      <c r="Z24" s="1691"/>
      <c r="AA24" s="1569">
        <v>9.6999999999999993</v>
      </c>
      <c r="AB24" s="3251"/>
      <c r="AC24" s="1665"/>
      <c r="AD24" s="1569">
        <v>14.5</v>
      </c>
      <c r="AE24" s="2191"/>
      <c r="AF24" s="1670"/>
      <c r="AG24" s="1681">
        <f>ROUND(SUM(AA24-AD24),1)</f>
        <v>-4.8</v>
      </c>
      <c r="AI24" s="1142">
        <f>ROUND(IF(AG24=0,0,AG24/ABS(AD24)),3)</f>
        <v>-0.33100000000000002</v>
      </c>
    </row>
    <row r="25" spans="1:36" ht="16.5" customHeight="1">
      <c r="A25" s="149" t="s">
        <v>178</v>
      </c>
      <c r="B25" s="237">
        <f t="shared" si="0"/>
        <v>31.1</v>
      </c>
      <c r="C25" s="237"/>
      <c r="D25" s="237"/>
      <c r="E25" s="237"/>
      <c r="F25" s="237"/>
      <c r="G25" s="237"/>
      <c r="H25" s="237"/>
      <c r="I25" s="1572"/>
      <c r="J25" s="237"/>
      <c r="K25" s="1572"/>
      <c r="L25" s="237"/>
      <c r="M25" s="1572"/>
      <c r="N25" s="1569"/>
      <c r="O25" s="1572"/>
      <c r="P25" s="1569"/>
      <c r="Q25" s="1572"/>
      <c r="R25" s="1569"/>
      <c r="S25" s="1572"/>
      <c r="T25" s="1569"/>
      <c r="U25" s="1572"/>
      <c r="V25" s="1569"/>
      <c r="W25" s="1572"/>
      <c r="X25" s="1569"/>
      <c r="Y25" s="1572"/>
      <c r="Z25" s="1691"/>
      <c r="AA25" s="1569">
        <v>31.1</v>
      </c>
      <c r="AB25" s="3251"/>
      <c r="AC25" s="1665"/>
      <c r="AD25" s="1569">
        <v>-9.3000000000000007</v>
      </c>
      <c r="AE25" s="1665"/>
      <c r="AF25" s="1664"/>
      <c r="AG25" s="1681">
        <f>ROUND(SUM(AA25-AD25),1)</f>
        <v>40.4</v>
      </c>
      <c r="AI25" s="1142">
        <f>ROUND(IF(AG25=0,0,AG25/ABS(AD25)),3)</f>
        <v>4.3440000000000003</v>
      </c>
      <c r="AJ25" s="3544"/>
    </row>
    <row r="26" spans="1:36" ht="16.5" customHeight="1">
      <c r="A26" s="149" t="s">
        <v>154</v>
      </c>
      <c r="B26" s="237">
        <f t="shared" si="0"/>
        <v>2.7</v>
      </c>
      <c r="C26" s="237"/>
      <c r="D26" s="237"/>
      <c r="E26" s="237"/>
      <c r="F26" s="237"/>
      <c r="G26" s="237"/>
      <c r="H26" s="237"/>
      <c r="I26" s="1572"/>
      <c r="J26" s="237"/>
      <c r="K26" s="1572"/>
      <c r="L26" s="237"/>
      <c r="M26" s="1572"/>
      <c r="N26" s="1569"/>
      <c r="O26" s="1572"/>
      <c r="P26" s="1569"/>
      <c r="Q26" s="1572"/>
      <c r="R26" s="1569"/>
      <c r="S26" s="1572"/>
      <c r="T26" s="1569"/>
      <c r="U26" s="1572"/>
      <c r="V26" s="1569"/>
      <c r="W26" s="1572"/>
      <c r="X26" s="1569"/>
      <c r="Y26" s="1572"/>
      <c r="Z26" s="1691"/>
      <c r="AA26" s="1569">
        <v>2.7</v>
      </c>
      <c r="AB26" s="3251"/>
      <c r="AC26" s="1665"/>
      <c r="AD26" s="1569">
        <v>4.8</v>
      </c>
      <c r="AE26" s="1572"/>
      <c r="AF26" s="1664"/>
      <c r="AG26" s="1693">
        <f>ROUND(SUM(AA26-AD26),1)</f>
        <v>-2.1</v>
      </c>
      <c r="AI26" s="3546">
        <f>ROUND(IF(AD26=0,1,AG26/ABS(AD26)),3)</f>
        <v>-0.438</v>
      </c>
      <c r="AJ26" s="3544"/>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192"/>
      <c r="Y27" s="1572"/>
      <c r="Z27" s="1691"/>
      <c r="AA27" s="2192"/>
      <c r="AB27" s="3251"/>
      <c r="AC27" s="1665"/>
      <c r="AD27" s="2192"/>
      <c r="AE27" s="2193"/>
      <c r="AF27" s="1670"/>
      <c r="AG27" s="1681"/>
      <c r="AH27" s="1143"/>
      <c r="AI27" s="1140"/>
    </row>
    <row r="28" spans="1:36" ht="16.5" customHeight="1">
      <c r="A28" s="249" t="s">
        <v>155</v>
      </c>
      <c r="B28" s="382">
        <f>ROUND(SUM(B24:B27),1)</f>
        <v>43.5</v>
      </c>
      <c r="C28" s="382"/>
      <c r="D28" s="382">
        <f>ROUND(SUM(D24:D27),1)</f>
        <v>0</v>
      </c>
      <c r="E28" s="382"/>
      <c r="F28" s="382">
        <f>ROUND(SUM(F24:F27),1)</f>
        <v>0</v>
      </c>
      <c r="G28" s="382"/>
      <c r="H28" s="382">
        <f>ROUND(SUM(H24:H27),1)</f>
        <v>0</v>
      </c>
      <c r="I28" s="382"/>
      <c r="J28" s="382">
        <f>ROUND(SUM(J24:J27),1)</f>
        <v>0</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194">
        <f>ROUND(SUM(X24:X26),1)</f>
        <v>0</v>
      </c>
      <c r="Y28" s="2194"/>
      <c r="Z28" s="2195"/>
      <c r="AA28" s="2194">
        <f>ROUND(SUM(AA23:AA26),1)</f>
        <v>43.5</v>
      </c>
      <c r="AB28" s="3252"/>
      <c r="AC28" s="3253"/>
      <c r="AD28" s="2194">
        <f>ROUND(SUM(AD23:AD26),1)</f>
        <v>10</v>
      </c>
      <c r="AE28" s="1665"/>
      <c r="AF28" s="1675"/>
      <c r="AG28" s="3232">
        <f>ROUND(SUM(AG24:AG26),1)</f>
        <v>33.5</v>
      </c>
      <c r="AH28" s="1138"/>
      <c r="AI28" s="1139">
        <f>ROUND(IF(AG28=0,0,AG28/ABS(AD28)),3)</f>
        <v>3.35</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192"/>
      <c r="Y29" s="1572"/>
      <c r="Z29" s="1691"/>
      <c r="AA29" s="2192"/>
      <c r="AB29" s="3251"/>
      <c r="AC29" s="1665"/>
      <c r="AD29" s="2192"/>
      <c r="AE29" s="1572"/>
      <c r="AF29" s="1675"/>
      <c r="AG29" s="1681"/>
      <c r="AI29" s="1127"/>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72"/>
      <c r="Y30" s="1572"/>
      <c r="Z30" s="1691"/>
      <c r="AA30" s="1572"/>
      <c r="AB30" s="3251"/>
      <c r="AC30" s="1665"/>
      <c r="AD30" s="1572"/>
      <c r="AE30" s="1667"/>
      <c r="AF30" s="1675"/>
      <c r="AG30" s="1681"/>
      <c r="AH30" s="1141"/>
      <c r="AI30" s="1140"/>
    </row>
    <row r="31" spans="1:36" ht="16.5" customHeight="1">
      <c r="A31" s="249" t="s">
        <v>156</v>
      </c>
      <c r="B31" s="237"/>
      <c r="C31" s="237"/>
      <c r="D31" s="237"/>
      <c r="E31" s="237"/>
      <c r="F31" s="237"/>
      <c r="G31" s="237"/>
      <c r="H31" s="237"/>
      <c r="I31" s="237"/>
      <c r="J31" s="237"/>
      <c r="K31" s="237"/>
      <c r="L31" s="237"/>
      <c r="M31" s="237"/>
      <c r="N31" s="237"/>
      <c r="O31" s="237"/>
      <c r="P31" s="237"/>
      <c r="Q31" s="237"/>
      <c r="R31" s="237"/>
      <c r="S31" s="237"/>
      <c r="T31" s="237"/>
      <c r="U31" s="237"/>
      <c r="V31" s="237"/>
      <c r="W31" s="237"/>
      <c r="X31" s="1572"/>
      <c r="Y31" s="1572"/>
      <c r="Z31" s="1691"/>
      <c r="AA31" s="1572"/>
      <c r="AB31" s="3251"/>
      <c r="AC31" s="1665"/>
      <c r="AD31" s="1572"/>
      <c r="AE31" s="2196"/>
      <c r="AF31" s="1674"/>
      <c r="AG31" s="1681"/>
      <c r="AH31" s="1141"/>
      <c r="AI31" s="1140"/>
    </row>
    <row r="32" spans="1:36" ht="16.5" customHeight="1">
      <c r="A32" s="249" t="s">
        <v>44</v>
      </c>
      <c r="B32" s="382">
        <f>ROUND(B19-B28,1)</f>
        <v>11.7</v>
      </c>
      <c r="C32" s="382"/>
      <c r="D32" s="382">
        <f>ROUND(D19-D28,1)</f>
        <v>0</v>
      </c>
      <c r="E32" s="382"/>
      <c r="F32" s="382">
        <f>ROUND(F19-F28,1)</f>
        <v>0</v>
      </c>
      <c r="G32" s="382"/>
      <c r="H32" s="382">
        <f>ROUND(H19-H28,1)</f>
        <v>0</v>
      </c>
      <c r="I32" s="382"/>
      <c r="J32" s="382">
        <f>ROUND(J19-J28,1)</f>
        <v>0</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194">
        <f>ROUND(X19-X28,1)</f>
        <v>0</v>
      </c>
      <c r="Y32" s="2194"/>
      <c r="Z32" s="2195"/>
      <c r="AA32" s="2194">
        <f>ROUND(AA19-AA28,1)</f>
        <v>11.7</v>
      </c>
      <c r="AB32" s="3252"/>
      <c r="AC32" s="3253"/>
      <c r="AD32" s="2194">
        <f>ROUND(AD19-AD28,1)</f>
        <v>15.2</v>
      </c>
      <c r="AE32" s="1665"/>
      <c r="AF32" s="1664"/>
      <c r="AG32" s="3232">
        <f>ROUND(SUM(AG19-AG28),1)</f>
        <v>-3.5</v>
      </c>
      <c r="AH32" s="1138"/>
      <c r="AI32" s="2111">
        <f>ROUND(IF(AG32=0,0,AG32/ABS(AD32)),3)</f>
        <v>-0.23</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192"/>
      <c r="Y33" s="1572"/>
      <c r="Z33" s="1691"/>
      <c r="AA33" s="2192"/>
      <c r="AB33" s="3251"/>
      <c r="AC33" s="1665"/>
      <c r="AD33" s="2192"/>
      <c r="AE33" s="1572"/>
      <c r="AF33" s="1664"/>
      <c r="AG33" s="1681"/>
      <c r="AI33" s="1127"/>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72"/>
      <c r="Y34" s="1572"/>
      <c r="Z34" s="1691"/>
      <c r="AA34" s="1572"/>
      <c r="AB34" s="3251"/>
      <c r="AC34" s="1665"/>
      <c r="AD34" s="1572"/>
      <c r="AE34" s="2193"/>
      <c r="AF34" s="2198"/>
      <c r="AG34" s="1681"/>
      <c r="AI34" s="1140"/>
    </row>
    <row r="35" spans="1:35" ht="16.5" customHeight="1">
      <c r="A35" s="249" t="s">
        <v>45</v>
      </c>
      <c r="B35" s="237"/>
      <c r="C35" s="237"/>
      <c r="D35" s="237"/>
      <c r="E35" s="237"/>
      <c r="F35" s="237"/>
      <c r="G35" s="237"/>
      <c r="H35" s="237"/>
      <c r="I35" s="237"/>
      <c r="J35" s="237"/>
      <c r="K35" s="237"/>
      <c r="L35" s="237"/>
      <c r="M35" s="237"/>
      <c r="N35" s="237"/>
      <c r="O35" s="237"/>
      <c r="P35" s="237"/>
      <c r="Q35" s="237"/>
      <c r="R35" s="237"/>
      <c r="S35" s="237"/>
      <c r="T35" s="237"/>
      <c r="U35" s="237"/>
      <c r="V35" s="237"/>
      <c r="W35" s="237"/>
      <c r="X35" s="1572"/>
      <c r="Y35" s="1572"/>
      <c r="Z35" s="1691"/>
      <c r="AA35" s="1572"/>
      <c r="AB35" s="3251"/>
      <c r="AC35" s="1665"/>
      <c r="AD35" s="1572"/>
      <c r="AE35" s="2199"/>
      <c r="AF35" s="2200"/>
      <c r="AG35" s="1703"/>
      <c r="AH35" s="1144"/>
      <c r="AI35" s="1140"/>
    </row>
    <row r="36" spans="1:35" ht="16.5" customHeight="1">
      <c r="A36" s="149" t="s">
        <v>180</v>
      </c>
      <c r="B36" s="237">
        <f t="shared" ref="B36:B37" si="1">$AA36</f>
        <v>2.5</v>
      </c>
      <c r="C36" s="237"/>
      <c r="D36" s="237"/>
      <c r="E36" s="237"/>
      <c r="F36" s="237"/>
      <c r="G36" s="237"/>
      <c r="H36" s="237"/>
      <c r="I36" s="1572"/>
      <c r="J36" s="237"/>
      <c r="K36" s="1572"/>
      <c r="L36" s="237"/>
      <c r="M36" s="1572"/>
      <c r="N36" s="1569"/>
      <c r="O36" s="1572"/>
      <c r="P36" s="1569"/>
      <c r="Q36" s="1572"/>
      <c r="R36" s="1569"/>
      <c r="S36" s="1572"/>
      <c r="T36" s="1569"/>
      <c r="U36" s="1572"/>
      <c r="V36" s="1569"/>
      <c r="W36" s="1572"/>
      <c r="X36" s="1569"/>
      <c r="Y36" s="1572"/>
      <c r="Z36" s="1691"/>
      <c r="AA36" s="1569">
        <v>2.5</v>
      </c>
      <c r="AB36" s="3251"/>
      <c r="AC36" s="1665"/>
      <c r="AD36" s="1569">
        <v>1.3</v>
      </c>
      <c r="AE36" s="2201"/>
      <c r="AF36" s="1702"/>
      <c r="AG36" s="1681">
        <f>ROUND(SUM(AA36-AD36),1)</f>
        <v>1.2</v>
      </c>
      <c r="AH36" s="1141"/>
      <c r="AI36" s="1142">
        <f>ROUND(IF(AG36=0,0,AG36/ABS(AD36)),3)</f>
        <v>0.92300000000000004</v>
      </c>
    </row>
    <row r="37" spans="1:35" s="1082" customFormat="1" ht="16.5" customHeight="1">
      <c r="A37" s="193" t="s">
        <v>181</v>
      </c>
      <c r="B37" s="237">
        <f t="shared" si="1"/>
        <v>-0.1</v>
      </c>
      <c r="C37" s="1572"/>
      <c r="D37" s="237"/>
      <c r="E37" s="1572"/>
      <c r="F37" s="237"/>
      <c r="G37" s="1572"/>
      <c r="H37" s="237"/>
      <c r="I37" s="1572"/>
      <c r="J37" s="237"/>
      <c r="K37" s="1572"/>
      <c r="L37" s="237"/>
      <c r="M37" s="1572"/>
      <c r="N37" s="1569"/>
      <c r="O37" s="1572"/>
      <c r="P37" s="1569"/>
      <c r="Q37" s="1572"/>
      <c r="R37" s="1569"/>
      <c r="S37" s="1572"/>
      <c r="T37" s="1569"/>
      <c r="U37" s="1572"/>
      <c r="V37" s="1569"/>
      <c r="W37" s="1572"/>
      <c r="X37" s="1569"/>
      <c r="Y37" s="1572"/>
      <c r="Z37" s="1691"/>
      <c r="AA37" s="1569">
        <v>-0.1</v>
      </c>
      <c r="AB37" s="3251"/>
      <c r="AC37" s="1665"/>
      <c r="AD37" s="1569">
        <v>0</v>
      </c>
      <c r="AE37" s="117"/>
      <c r="AF37" s="1702"/>
      <c r="AG37" s="3032">
        <f>-ROUND(SUM(AA37-AD37),1)</f>
        <v>0.1</v>
      </c>
      <c r="AH37" s="1673"/>
      <c r="AI37" s="3902">
        <v>1</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192"/>
      <c r="Y38" s="1572"/>
      <c r="Z38" s="1691"/>
      <c r="AA38" s="3254"/>
      <c r="AB38" s="3251"/>
      <c r="AC38" s="1665"/>
      <c r="AD38" s="3254"/>
      <c r="AE38" s="140"/>
      <c r="AF38" s="1702"/>
      <c r="AG38" s="3228"/>
    </row>
    <row r="39" spans="1:35" ht="16.5" customHeight="1">
      <c r="A39" s="249" t="s">
        <v>206</v>
      </c>
      <c r="B39" s="382">
        <f>ROUND(SUM(B36:B38),1)</f>
        <v>2.4</v>
      </c>
      <c r="C39" s="382"/>
      <c r="D39" s="382">
        <f>ROUND(SUM(D36:D38),1)</f>
        <v>0</v>
      </c>
      <c r="E39" s="382"/>
      <c r="F39" s="382">
        <f>ROUND(SUM(F36:F38),1)</f>
        <v>0</v>
      </c>
      <c r="G39" s="382"/>
      <c r="H39" s="382">
        <f>ROUND(SUM(H36:H38),1)</f>
        <v>0</v>
      </c>
      <c r="I39" s="382"/>
      <c r="J39" s="382">
        <f>ROUND(SUM(J36:J38),1)</f>
        <v>0</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194">
        <f>ROUND(SUM(X36:X38),1)</f>
        <v>0</v>
      </c>
      <c r="Y39" s="2194"/>
      <c r="Z39" s="2195"/>
      <c r="AA39" s="2194">
        <f>ROUND(SUM(AA36:AA38),1)</f>
        <v>2.4</v>
      </c>
      <c r="AB39" s="3252"/>
      <c r="AC39" s="3253"/>
      <c r="AD39" s="2194">
        <f>ROUND(SUM(AD36:AD38),1)</f>
        <v>1.3</v>
      </c>
      <c r="AF39" s="1670"/>
      <c r="AG39" s="3232">
        <f>AA39-AD39</f>
        <v>1.0999999999999999</v>
      </c>
      <c r="AH39" s="1145"/>
      <c r="AI39" s="1139">
        <f>ROUND(IF(AG39=0,0,AG39/ABS(AD39)),3)</f>
        <v>0.84599999999999997</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192"/>
      <c r="Y40" s="1572"/>
      <c r="Z40" s="1691"/>
      <c r="AA40" s="2192"/>
      <c r="AB40" s="3251"/>
      <c r="AC40" s="1665"/>
      <c r="AD40" s="2192"/>
      <c r="AE40" s="140"/>
      <c r="AF40" s="1702"/>
      <c r="AG40" s="3228"/>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72"/>
      <c r="Y41" s="1572"/>
      <c r="Z41" s="1691"/>
      <c r="AA41" s="1572"/>
      <c r="AB41" s="3251"/>
      <c r="AC41" s="1665"/>
      <c r="AD41" s="1572"/>
      <c r="AE41" s="140"/>
      <c r="AF41" s="1702"/>
    </row>
    <row r="42" spans="1:35" ht="16.5" customHeight="1">
      <c r="A42" s="249" t="s">
        <v>164</v>
      </c>
      <c r="B42" s="237"/>
      <c r="C42" s="237"/>
      <c r="D42" s="237"/>
      <c r="E42" s="237"/>
      <c r="F42" s="237"/>
      <c r="G42" s="237"/>
      <c r="H42" s="237"/>
      <c r="I42" s="237"/>
      <c r="J42" s="237"/>
      <c r="K42" s="237"/>
      <c r="L42" s="237"/>
      <c r="M42" s="237"/>
      <c r="N42" s="237"/>
      <c r="O42" s="237"/>
      <c r="P42" s="237"/>
      <c r="Q42" s="237"/>
      <c r="R42" s="237"/>
      <c r="S42" s="237"/>
      <c r="T42" s="237"/>
      <c r="U42" s="237"/>
      <c r="V42" s="237"/>
      <c r="W42" s="237"/>
      <c r="X42" s="1572"/>
      <c r="Y42" s="1572"/>
      <c r="Z42" s="1691"/>
      <c r="AA42" s="1572"/>
      <c r="AB42" s="3251"/>
      <c r="AC42" s="1665"/>
      <c r="AD42" s="1572"/>
      <c r="AE42" s="140"/>
      <c r="AF42" s="1702"/>
    </row>
    <row r="43" spans="1:35" ht="16.5" customHeight="1">
      <c r="A43" s="249" t="s">
        <v>225</v>
      </c>
      <c r="B43" s="237"/>
      <c r="C43" s="237"/>
      <c r="D43" s="237"/>
      <c r="E43" s="237"/>
      <c r="F43" s="237"/>
      <c r="G43" s="237"/>
      <c r="H43" s="237"/>
      <c r="I43" s="237"/>
      <c r="J43" s="237"/>
      <c r="K43" s="237"/>
      <c r="L43" s="237"/>
      <c r="M43" s="237"/>
      <c r="N43" s="237"/>
      <c r="O43" s="237"/>
      <c r="P43" s="237"/>
      <c r="Q43" s="237"/>
      <c r="R43" s="237"/>
      <c r="S43" s="237"/>
      <c r="T43" s="237"/>
      <c r="U43" s="237"/>
      <c r="V43" s="237"/>
      <c r="W43" s="237"/>
      <c r="X43" s="1572"/>
      <c r="Y43" s="1572"/>
      <c r="Z43" s="1691"/>
      <c r="AA43" s="1572"/>
      <c r="AB43" s="3251"/>
      <c r="AC43" s="1665"/>
      <c r="AD43" s="1572"/>
      <c r="AE43" s="107"/>
      <c r="AF43" s="1670"/>
    </row>
    <row r="44" spans="1:35" s="217" customFormat="1" ht="16.5" customHeight="1">
      <c r="A44" s="249" t="s">
        <v>166</v>
      </c>
      <c r="B44" s="382">
        <f>ROUND(SUM(B32,B39),1)</f>
        <v>14.1</v>
      </c>
      <c r="C44" s="382"/>
      <c r="D44" s="382">
        <f>ROUND(SUM(D32,D39),1)</f>
        <v>0</v>
      </c>
      <c r="E44" s="382"/>
      <c r="F44" s="382">
        <f>ROUND(SUM(F32,F39),1)</f>
        <v>0</v>
      </c>
      <c r="G44" s="382"/>
      <c r="H44" s="382">
        <f>ROUND(SUM(H32,H39),1)</f>
        <v>0</v>
      </c>
      <c r="I44" s="382"/>
      <c r="J44" s="382">
        <f>ROUND(SUM(J32,J39),1)</f>
        <v>0</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194">
        <f>ROUND(SUM(X32,X39),1)</f>
        <v>0</v>
      </c>
      <c r="Y44" s="2194"/>
      <c r="Z44" s="2195"/>
      <c r="AA44" s="2197">
        <f>ROUND(AA32+AA39,1)</f>
        <v>14.1</v>
      </c>
      <c r="AB44" s="3252"/>
      <c r="AC44" s="3253"/>
      <c r="AD44" s="2197">
        <f>ROUND(AD32+AD39,1)</f>
        <v>16.5</v>
      </c>
      <c r="AE44" s="2202"/>
      <c r="AF44" s="1670"/>
      <c r="AG44" s="3232">
        <f>ROUND(SUM(AG32+AG39),1)</f>
        <v>-2.4</v>
      </c>
      <c r="AH44" s="1118"/>
      <c r="AI44" s="2111">
        <f>ROUND(IF(AG44=0,0,AG44/ABS(AD44)),3)</f>
        <v>-0.14499999999999999</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55"/>
      <c r="Y45" s="3223"/>
      <c r="Z45" s="3247"/>
      <c r="AA45" s="3255"/>
      <c r="AB45" s="3248"/>
      <c r="AC45" s="3249"/>
      <c r="AD45" s="3255"/>
      <c r="AF45" s="1670"/>
      <c r="AI45" s="1127"/>
    </row>
    <row r="46" spans="1:35" ht="16.5" customHeight="1" thickBot="1">
      <c r="A46" s="320" t="s">
        <v>140</v>
      </c>
      <c r="B46" s="377">
        <f>ROUND(SUM(B14,B44),1)</f>
        <v>-349.4</v>
      </c>
      <c r="C46" s="377"/>
      <c r="D46" s="377">
        <f>ROUND(SUM(D14,D44),1)</f>
        <v>0</v>
      </c>
      <c r="E46" s="377"/>
      <c r="F46" s="377">
        <f>ROUND(SUM(F14,F44),1)</f>
        <v>0</v>
      </c>
      <c r="G46" s="377"/>
      <c r="H46" s="377">
        <f>ROUND(SUM(H14,H44),1)</f>
        <v>0</v>
      </c>
      <c r="I46" s="377"/>
      <c r="J46" s="377">
        <f>ROUND(SUM(J14,J44),1)</f>
        <v>0</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47">
        <f>ROUND(SUM(X14,X44),1)</f>
        <v>0</v>
      </c>
      <c r="Y46" s="1647"/>
      <c r="Z46" s="3245"/>
      <c r="AA46" s="1647">
        <f>ROUND(SUM(AA14,AA44),1)</f>
        <v>-349.4</v>
      </c>
      <c r="AB46" s="3246"/>
      <c r="AC46" s="2199"/>
      <c r="AD46" s="1647">
        <f>ROUND(SUM(AD14,AD44),1)</f>
        <v>-281</v>
      </c>
      <c r="AF46" s="1670"/>
      <c r="AG46" s="3235">
        <f>ROUND(SUM(AA46-AD46),1)</f>
        <v>-68.400000000000006</v>
      </c>
      <c r="AH46" s="1144"/>
      <c r="AI46" s="1146">
        <f>ROUND(IF(AG46=0,0,AG46/ABS(AD46)),3)</f>
        <v>-0.24299999999999999</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56"/>
      <c r="Y47" s="3223"/>
      <c r="Z47" s="3223"/>
      <c r="AA47" s="3256"/>
      <c r="AB47" s="3223"/>
      <c r="AC47" s="3223"/>
      <c r="AD47" s="3256"/>
    </row>
    <row r="49" spans="1:1" ht="16.5" customHeight="1">
      <c r="A49" s="388"/>
    </row>
    <row r="50" spans="1:1" ht="16.5" customHeight="1">
      <c r="A50" s="247"/>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765625" defaultRowHeight="17.5"/>
  <cols>
    <col min="1" max="1" width="45.53515625" style="389" customWidth="1"/>
    <col min="2" max="2" width="11.07421875" style="389" customWidth="1"/>
    <col min="3" max="3" width="1.765625" style="389" customWidth="1"/>
    <col min="4" max="4" width="8.765625" style="389" customWidth="1"/>
    <col min="5" max="5" width="1.765625" style="389" customWidth="1"/>
    <col min="6" max="6" width="8.765625" style="389" customWidth="1"/>
    <col min="7" max="7" width="1.765625" style="389" customWidth="1"/>
    <col min="8" max="8" width="9.4609375" style="389" customWidth="1"/>
    <col min="9" max="9" width="1.765625" style="389" customWidth="1"/>
    <col min="10" max="10" width="10.765625" style="389" customWidth="1"/>
    <col min="11" max="11" width="1.765625" style="389" customWidth="1"/>
    <col min="12" max="12" width="14.07421875" style="389" customWidth="1"/>
    <col min="13" max="13" width="1.765625" style="389" customWidth="1"/>
    <col min="14" max="14" width="12" style="389" bestFit="1" customWidth="1"/>
    <col min="15" max="15" width="1.765625" style="389" customWidth="1"/>
    <col min="16" max="16" width="13.53515625" style="389" bestFit="1" customWidth="1"/>
    <col min="17" max="17" width="1.765625" style="389" customWidth="1"/>
    <col min="18" max="18" width="13.53515625" style="389" bestFit="1" customWidth="1"/>
    <col min="19" max="19" width="1.765625" style="389" customWidth="1"/>
    <col min="20" max="20" width="11" style="389" bestFit="1" customWidth="1"/>
    <col min="21" max="21" width="1.765625" style="389" customWidth="1"/>
    <col min="22" max="22" width="12.765625" style="389" bestFit="1" customWidth="1"/>
    <col min="23" max="23" width="1.765625" style="389" customWidth="1"/>
    <col min="24" max="24" width="11" style="389" customWidth="1"/>
    <col min="25" max="26" width="1.765625" style="389" customWidth="1"/>
    <col min="27" max="27" width="10.07421875" style="2202" customWidth="1"/>
    <col min="28" max="29" width="1.765625" style="2202" customWidth="1"/>
    <col min="30" max="30" width="10.07421875" style="3270" customWidth="1"/>
    <col min="31" max="31" width="1.765625" style="1126" customWidth="1"/>
    <col min="32" max="32" width="2.4609375" style="1126" customWidth="1"/>
    <col min="33" max="33" width="10.07421875" style="1127" bestFit="1" customWidth="1"/>
    <col min="34" max="34" width="1.765625" style="1127" customWidth="1"/>
    <col min="35" max="35" width="11.07421875" style="1126" customWidth="1"/>
    <col min="36" max="16384" width="8.765625" style="389"/>
  </cols>
  <sheetData>
    <row r="1" spans="1:35">
      <c r="A1" s="640" t="s">
        <v>885</v>
      </c>
    </row>
    <row r="2" spans="1:35">
      <c r="A2" s="818"/>
    </row>
    <row r="3" spans="1:35" ht="20.25" customHeight="1">
      <c r="A3" s="3534"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65" t="s">
        <v>223</v>
      </c>
    </row>
    <row r="4" spans="1:35" ht="20.25" customHeight="1">
      <c r="A4" s="290" t="s">
        <v>222</v>
      </c>
      <c r="B4" s="31"/>
      <c r="C4" s="31"/>
      <c r="D4" s="31"/>
      <c r="E4" s="31"/>
      <c r="F4" s="31"/>
      <c r="G4" s="31"/>
      <c r="H4" s="29" t="s">
        <v>14</v>
      </c>
      <c r="I4" s="31"/>
      <c r="J4" s="31"/>
      <c r="K4" s="29"/>
      <c r="L4" s="29"/>
      <c r="M4" s="31"/>
      <c r="N4" s="31"/>
      <c r="O4" s="31"/>
      <c r="P4" s="31"/>
      <c r="Q4" s="31"/>
      <c r="R4" s="31"/>
      <c r="S4" s="31"/>
      <c r="T4" s="31"/>
      <c r="U4" s="31"/>
      <c r="V4" s="31"/>
      <c r="W4" s="31"/>
      <c r="X4" s="31" t="s">
        <v>14</v>
      </c>
      <c r="Y4" s="31"/>
      <c r="Z4" s="31"/>
      <c r="AA4" s="107"/>
      <c r="AB4" s="107"/>
      <c r="AC4" s="107"/>
      <c r="AD4" s="193"/>
    </row>
    <row r="5" spans="1:35" ht="20.25" customHeight="1">
      <c r="A5" s="1527" t="s">
        <v>122</v>
      </c>
      <c r="B5" s="31"/>
      <c r="C5" s="31"/>
      <c r="D5" s="31"/>
      <c r="E5" s="31"/>
      <c r="F5" s="31"/>
      <c r="G5" s="31"/>
      <c r="H5" s="31"/>
      <c r="I5" s="31"/>
      <c r="J5" s="31"/>
      <c r="K5" s="29"/>
      <c r="L5" s="29"/>
      <c r="M5" s="31"/>
      <c r="N5" s="31"/>
      <c r="O5" s="31"/>
      <c r="P5" s="31"/>
      <c r="Q5" s="31"/>
      <c r="R5" s="31"/>
      <c r="S5" s="31"/>
      <c r="T5" s="31"/>
      <c r="U5" s="31"/>
      <c r="V5" s="31"/>
      <c r="W5" s="31"/>
      <c r="X5" s="31"/>
      <c r="Y5" s="31"/>
      <c r="Z5" s="31"/>
      <c r="AB5" s="3260"/>
      <c r="AC5" s="3260"/>
      <c r="AE5" s="1148"/>
    </row>
    <row r="6" spans="1:35" ht="20.25" customHeight="1">
      <c r="A6" s="1527"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34" t="s">
        <v>1280</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26"/>
      <c r="AF8" s="1126"/>
      <c r="AG8" s="1127"/>
      <c r="AH8" s="1127"/>
      <c r="AI8" s="1126"/>
    </row>
    <row r="9" spans="1:35" s="391" customFormat="1" ht="19.399999999999999" customHeight="1">
      <c r="A9" s="684"/>
      <c r="B9" s="684"/>
      <c r="C9" s="684"/>
      <c r="D9" s="684"/>
      <c r="E9" s="684"/>
      <c r="F9" s="684"/>
      <c r="G9" s="684"/>
      <c r="H9" s="29"/>
      <c r="I9" s="29"/>
      <c r="J9" s="29"/>
      <c r="K9" s="684"/>
      <c r="L9" s="684"/>
      <c r="M9" s="684"/>
      <c r="N9" s="684"/>
      <c r="O9" s="684"/>
      <c r="P9" s="684"/>
      <c r="Q9" s="684"/>
      <c r="R9" s="684"/>
      <c r="S9" s="684"/>
      <c r="T9" s="684"/>
      <c r="U9" s="684"/>
      <c r="V9" s="684"/>
      <c r="W9" s="684"/>
      <c r="X9" s="684"/>
      <c r="Y9" s="684"/>
      <c r="Z9" s="149"/>
      <c r="AA9" s="193"/>
      <c r="AB9" s="193"/>
      <c r="AC9" s="3948"/>
      <c r="AD9" s="3949"/>
      <c r="AE9" s="3949"/>
      <c r="AF9" s="3949"/>
      <c r="AG9" s="3949"/>
      <c r="AH9" s="3949"/>
      <c r="AI9" s="3949"/>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7"/>
      <c r="W10" s="825"/>
      <c r="X10" s="826"/>
      <c r="Y10" s="827"/>
      <c r="Z10" s="3950" t="s">
        <v>1422</v>
      </c>
      <c r="AA10" s="3950"/>
      <c r="AB10" s="3950"/>
      <c r="AC10" s="3950"/>
      <c r="AD10" s="3950"/>
      <c r="AE10" s="3950"/>
      <c r="AF10" s="3950"/>
      <c r="AG10" s="3950"/>
      <c r="AH10" s="3950"/>
      <c r="AI10" s="3950"/>
    </row>
    <row r="11" spans="1:35" s="391" customFormat="1" ht="19.399999999999999" customHeight="1">
      <c r="A11" s="149"/>
      <c r="B11" s="763" t="str">
        <f>'Cashflow Governmental'!C13</f>
        <v>2021</v>
      </c>
      <c r="C11" s="249"/>
      <c r="D11" s="249"/>
      <c r="E11" s="249"/>
      <c r="F11" s="249"/>
      <c r="G11" s="249"/>
      <c r="H11" s="249"/>
      <c r="I11" s="249"/>
      <c r="J11" s="249"/>
      <c r="K11" s="249"/>
      <c r="L11" s="249"/>
      <c r="M11" s="249"/>
      <c r="N11" s="249"/>
      <c r="O11" s="249"/>
      <c r="P11" s="249"/>
      <c r="Q11" s="249"/>
      <c r="R11" s="249"/>
      <c r="S11" s="249"/>
      <c r="T11" s="763">
        <f>'Cashflow Governmental'!U13</f>
        <v>2022</v>
      </c>
      <c r="U11" s="249"/>
      <c r="V11" s="765"/>
      <c r="W11" s="249"/>
      <c r="X11" s="249"/>
      <c r="Y11" s="249"/>
      <c r="Z11" s="764"/>
      <c r="AA11" s="3240"/>
      <c r="AB11" s="3240"/>
      <c r="AC11" s="3240"/>
      <c r="AD11" s="3218"/>
      <c r="AE11" s="1149"/>
      <c r="AF11" s="1118"/>
      <c r="AG11" s="1130" t="s">
        <v>7</v>
      </c>
      <c r="AH11" s="1130"/>
      <c r="AI11" s="1131" t="s">
        <v>8</v>
      </c>
    </row>
    <row r="12" spans="1:35" s="391" customFormat="1" ht="19.399999999999999" customHeight="1">
      <c r="A12" s="149"/>
      <c r="B12" s="828" t="s">
        <v>123</v>
      </c>
      <c r="C12" s="249"/>
      <c r="D12" s="828" t="s">
        <v>124</v>
      </c>
      <c r="E12" s="249"/>
      <c r="F12" s="828" t="s">
        <v>125</v>
      </c>
      <c r="G12" s="249"/>
      <c r="H12" s="828" t="s">
        <v>126</v>
      </c>
      <c r="I12" s="249"/>
      <c r="J12" s="829" t="s">
        <v>224</v>
      </c>
      <c r="K12" s="249"/>
      <c r="L12" s="829" t="s">
        <v>142</v>
      </c>
      <c r="M12" s="249"/>
      <c r="N12" s="829" t="s">
        <v>143</v>
      </c>
      <c r="O12" s="249"/>
      <c r="P12" s="828" t="s">
        <v>130</v>
      </c>
      <c r="Q12" s="249"/>
      <c r="R12" s="828" t="s">
        <v>131</v>
      </c>
      <c r="S12" s="249"/>
      <c r="T12" s="829" t="s">
        <v>132</v>
      </c>
      <c r="U12" s="249"/>
      <c r="V12" s="828" t="s">
        <v>133</v>
      </c>
      <c r="W12" s="249"/>
      <c r="X12" s="829" t="s">
        <v>184</v>
      </c>
      <c r="Y12" s="249"/>
      <c r="Z12" s="249"/>
      <c r="AA12" s="3242">
        <f>'Cashflow Governmental'!AB14</f>
        <v>2021</v>
      </c>
      <c r="AB12" s="3242"/>
      <c r="AC12" s="3257"/>
      <c r="AD12" s="3444">
        <f>'Cashflow Governmental'!AE14</f>
        <v>2020</v>
      </c>
      <c r="AE12" s="1145"/>
      <c r="AF12" s="1145"/>
      <c r="AG12" s="1132" t="s">
        <v>11</v>
      </c>
      <c r="AH12" s="1133"/>
      <c r="AI12" s="1132" t="s">
        <v>12</v>
      </c>
    </row>
    <row r="13" spans="1:35" s="1656" customFormat="1" ht="19.399999999999999" customHeight="1">
      <c r="A13" s="1645" t="s">
        <v>135</v>
      </c>
      <c r="B13" s="1676">
        <v>0</v>
      </c>
      <c r="C13" s="1647"/>
      <c r="D13" s="1676"/>
      <c r="E13" s="1647"/>
      <c r="F13" s="1676"/>
      <c r="G13" s="1677"/>
      <c r="H13" s="1676"/>
      <c r="I13" s="1677"/>
      <c r="J13" s="1676"/>
      <c r="K13" s="1677"/>
      <c r="L13" s="1676"/>
      <c r="M13" s="1677"/>
      <c r="N13" s="1676"/>
      <c r="O13" s="1677"/>
      <c r="P13" s="1676"/>
      <c r="Q13" s="1677"/>
      <c r="R13" s="1676"/>
      <c r="S13" s="1677"/>
      <c r="T13" s="1676"/>
      <c r="U13" s="1677"/>
      <c r="V13" s="1676"/>
      <c r="W13" s="1677"/>
      <c r="X13" s="1676"/>
      <c r="Y13" s="1649"/>
      <c r="Z13" s="1650"/>
      <c r="AA13" s="1676">
        <f>B13</f>
        <v>0</v>
      </c>
      <c r="AB13" s="1649"/>
      <c r="AC13" s="3261"/>
      <c r="AD13" s="1676">
        <v>-1.1000000000000001</v>
      </c>
      <c r="AE13" s="1651"/>
      <c r="AF13" s="1652"/>
      <c r="AG13" s="1653">
        <f>ROUND(SUM(AA13-AD13),1)</f>
        <v>1.1000000000000001</v>
      </c>
      <c r="AH13" s="1654"/>
      <c r="AI13" s="2115">
        <f>-ROUND(IF(AG13=0,0,AG13/(AD13)),3)</f>
        <v>1</v>
      </c>
    </row>
    <row r="14" spans="1:35" s="391" customFormat="1" ht="19.399999999999999" customHeight="1">
      <c r="A14" s="149"/>
      <c r="B14" s="379"/>
      <c r="C14" s="379"/>
      <c r="D14" s="379"/>
      <c r="E14" s="379"/>
      <c r="F14" s="3702"/>
      <c r="G14" s="832"/>
      <c r="H14" s="833"/>
      <c r="I14" s="833"/>
      <c r="J14" s="833"/>
      <c r="K14" s="832"/>
      <c r="L14" s="833"/>
      <c r="M14" s="833"/>
      <c r="N14" s="833"/>
      <c r="O14" s="833"/>
      <c r="P14" s="833"/>
      <c r="Q14" s="833"/>
      <c r="R14" s="833"/>
      <c r="S14" s="833"/>
      <c r="T14" s="833"/>
      <c r="U14" s="833"/>
      <c r="V14" s="833"/>
      <c r="W14" s="833"/>
      <c r="X14" s="833"/>
      <c r="Y14" s="834"/>
      <c r="Z14" s="835"/>
      <c r="AA14" s="3223"/>
      <c r="AB14" s="3262"/>
      <c r="AC14" s="3263"/>
      <c r="AD14" s="3223"/>
      <c r="AE14" s="1150"/>
      <c r="AF14" s="1147"/>
      <c r="AG14" s="1135"/>
      <c r="AH14" s="1127"/>
      <c r="AI14" s="1126"/>
    </row>
    <row r="15" spans="1:35" s="391" customFormat="1" ht="19.399999999999999" customHeight="1">
      <c r="A15" s="249" t="s">
        <v>13</v>
      </c>
      <c r="B15" s="379"/>
      <c r="C15" s="379"/>
      <c r="D15" s="379"/>
      <c r="E15" s="379"/>
      <c r="F15" s="3702"/>
      <c r="G15" s="832"/>
      <c r="H15" s="833"/>
      <c r="I15" s="833"/>
      <c r="J15" s="833"/>
      <c r="K15" s="832"/>
      <c r="L15" s="833"/>
      <c r="M15" s="833"/>
      <c r="N15" s="833"/>
      <c r="O15" s="833"/>
      <c r="P15" s="833"/>
      <c r="Q15" s="833"/>
      <c r="R15" s="833"/>
      <c r="S15" s="833"/>
      <c r="T15" s="833"/>
      <c r="U15" s="833"/>
      <c r="V15" s="833"/>
      <c r="W15" s="833"/>
      <c r="X15" s="833"/>
      <c r="Y15" s="834"/>
      <c r="Z15" s="835"/>
      <c r="AA15" s="3223"/>
      <c r="AB15" s="3262"/>
      <c r="AC15" s="3263"/>
      <c r="AD15" s="3223"/>
      <c r="AE15" s="1150"/>
      <c r="AF15" s="1147"/>
      <c r="AG15" s="1135"/>
      <c r="AH15" s="1127"/>
      <c r="AI15" s="1126"/>
    </row>
    <row r="16" spans="1:35" s="391" customFormat="1" ht="19.399999999999999" customHeight="1">
      <c r="A16" s="837" t="s">
        <v>177</v>
      </c>
      <c r="B16" s="2153">
        <f>$AA16</f>
        <v>5.9</v>
      </c>
      <c r="C16" s="237"/>
      <c r="D16" s="2153"/>
      <c r="E16" s="237"/>
      <c r="F16" s="3703"/>
      <c r="G16" s="237"/>
      <c r="H16" s="3703"/>
      <c r="I16" s="1659"/>
      <c r="J16" s="3703"/>
      <c r="K16" s="1572"/>
      <c r="L16" s="2153"/>
      <c r="M16" s="1660"/>
      <c r="N16" s="1658"/>
      <c r="O16" s="1660"/>
      <c r="P16" s="1658"/>
      <c r="Q16" s="1660"/>
      <c r="R16" s="1658"/>
      <c r="S16" s="1660"/>
      <c r="T16" s="1658"/>
      <c r="U16" s="1660"/>
      <c r="V16" s="1658"/>
      <c r="W16" s="1660"/>
      <c r="X16" s="1658"/>
      <c r="Y16" s="1661"/>
      <c r="Z16" s="1662"/>
      <c r="AA16" s="1658">
        <v>5.9</v>
      </c>
      <c r="AB16" s="1661"/>
      <c r="AC16" s="1660"/>
      <c r="AD16" s="1658">
        <v>8.3000000000000007</v>
      </c>
      <c r="AE16" s="1151"/>
      <c r="AF16" s="1119"/>
      <c r="AG16" s="1137">
        <f>ROUND(SUM(AA16-AD16),1)</f>
        <v>-2.4</v>
      </c>
      <c r="AH16" s="1127"/>
      <c r="AI16" s="1142">
        <f>ROUND(IF(AG16=0,0,AG16/ABS(AD16)),3)</f>
        <v>-0.28899999999999998</v>
      </c>
    </row>
    <row r="17" spans="1:35" s="391" customFormat="1" ht="24" customHeight="1">
      <c r="A17" s="249" t="s">
        <v>149</v>
      </c>
      <c r="B17" s="2142">
        <f>ROUND(SUM(B16),1)</f>
        <v>5.9</v>
      </c>
      <c r="C17" s="382"/>
      <c r="D17" s="842">
        <f>ROUND(SUM(D16),1)</f>
        <v>0</v>
      </c>
      <c r="E17" s="382"/>
      <c r="F17" s="3704">
        <f>ROUND(SUM(F16),1)</f>
        <v>0</v>
      </c>
      <c r="G17" s="382"/>
      <c r="H17" s="842">
        <f>ROUND(SUM(H16),1)</f>
        <v>0</v>
      </c>
      <c r="I17" s="843"/>
      <c r="J17" s="842">
        <f>ROUND(SUM(J16),1)</f>
        <v>0</v>
      </c>
      <c r="K17" s="382"/>
      <c r="L17" s="842">
        <f>ROUND(SUM(L16),1)</f>
        <v>0</v>
      </c>
      <c r="M17" s="844"/>
      <c r="N17" s="842">
        <f>ROUND(SUM(N16),1)</f>
        <v>0</v>
      </c>
      <c r="O17" s="844"/>
      <c r="P17" s="842">
        <f>ROUND(SUM(P16),1)</f>
        <v>0</v>
      </c>
      <c r="Q17" s="844"/>
      <c r="R17" s="2142">
        <f>ROUND(SUM(R16),1)</f>
        <v>0</v>
      </c>
      <c r="S17" s="844"/>
      <c r="T17" s="842">
        <f>ROUND(SUM(T16),1)</f>
        <v>0</v>
      </c>
      <c r="U17" s="844"/>
      <c r="V17" s="842">
        <f>ROUND(SUM(V16),1)</f>
        <v>0</v>
      </c>
      <c r="W17" s="844"/>
      <c r="X17" s="842">
        <f>ROUND(SUM(X16),1)</f>
        <v>0</v>
      </c>
      <c r="Y17" s="845"/>
      <c r="Z17" s="846"/>
      <c r="AA17" s="1692">
        <f>ROUND(SUM(AA16),1)</f>
        <v>5.9</v>
      </c>
      <c r="AB17" s="3264"/>
      <c r="AC17" s="3265"/>
      <c r="AD17" s="1692">
        <f>ROUND(SUM(AD16),1)</f>
        <v>8.3000000000000007</v>
      </c>
      <c r="AE17" s="1152"/>
      <c r="AF17" s="1119"/>
      <c r="AG17" s="1159">
        <f>ROUND(SUM(AG16),1)</f>
        <v>-2.4</v>
      </c>
      <c r="AH17" s="1160"/>
      <c r="AI17" s="1161">
        <f>ROUND(IF(AG17=0,0,AG17/ABS(AD17)),3)</f>
        <v>-0.28899999999999998</v>
      </c>
    </row>
    <row r="18" spans="1:35" s="391" customFormat="1" ht="19.399999999999999" customHeight="1">
      <c r="A18" s="149"/>
      <c r="B18" s="381"/>
      <c r="C18" s="237"/>
      <c r="D18" s="381" t="s">
        <v>14</v>
      </c>
      <c r="E18" s="237"/>
      <c r="F18" s="2192"/>
      <c r="G18" s="237"/>
      <c r="H18" s="847"/>
      <c r="I18" s="839"/>
      <c r="J18" s="847"/>
      <c r="K18" s="237"/>
      <c r="L18" s="847"/>
      <c r="M18" s="839"/>
      <c r="N18" s="847"/>
      <c r="O18" s="839"/>
      <c r="P18" s="847"/>
      <c r="Q18" s="839"/>
      <c r="R18" s="847"/>
      <c r="S18" s="839"/>
      <c r="T18" s="847"/>
      <c r="U18" s="839"/>
      <c r="V18" s="847"/>
      <c r="W18" s="839"/>
      <c r="X18" s="847"/>
      <c r="Y18" s="840"/>
      <c r="Z18" s="841"/>
      <c r="AA18" s="2192"/>
      <c r="AB18" s="1661"/>
      <c r="AC18" s="1659"/>
      <c r="AD18" s="2192"/>
      <c r="AE18" s="1137"/>
      <c r="AF18" s="1119"/>
      <c r="AG18" s="1137"/>
      <c r="AH18" s="1127"/>
      <c r="AI18" s="1126"/>
    </row>
    <row r="19" spans="1:35" s="391" customFormat="1" ht="19.399999999999999" customHeight="1">
      <c r="A19" s="149"/>
      <c r="B19" s="237"/>
      <c r="C19" s="237"/>
      <c r="D19" s="237" t="s">
        <v>14</v>
      </c>
      <c r="E19" s="237"/>
      <c r="F19" s="1572"/>
      <c r="G19" s="237"/>
      <c r="H19" s="839"/>
      <c r="I19" s="839"/>
      <c r="J19" s="839"/>
      <c r="K19" s="237"/>
      <c r="L19" s="839"/>
      <c r="M19" s="839"/>
      <c r="N19" s="839"/>
      <c r="O19" s="839"/>
      <c r="P19" s="839"/>
      <c r="Q19" s="839"/>
      <c r="R19" s="839"/>
      <c r="S19" s="839"/>
      <c r="T19" s="839"/>
      <c r="U19" s="839"/>
      <c r="V19" s="839"/>
      <c r="W19" s="839"/>
      <c r="X19" s="839"/>
      <c r="Y19" s="840"/>
      <c r="Z19" s="841"/>
      <c r="AA19" s="1572"/>
      <c r="AB19" s="1661"/>
      <c r="AC19" s="1660"/>
      <c r="AD19" s="1572"/>
      <c r="AE19" s="1153"/>
      <c r="AF19" s="1119"/>
      <c r="AG19" s="1137"/>
      <c r="AH19" s="1127"/>
      <c r="AI19" s="1126"/>
    </row>
    <row r="20" spans="1:35" s="391" customFormat="1" ht="19.399999999999999" customHeight="1">
      <c r="A20" s="249" t="s">
        <v>22</v>
      </c>
      <c r="B20" s="237"/>
      <c r="C20" s="237"/>
      <c r="D20" s="237" t="s">
        <v>14</v>
      </c>
      <c r="E20" s="237"/>
      <c r="F20" s="1572"/>
      <c r="G20" s="237"/>
      <c r="H20" s="839"/>
      <c r="I20" s="839"/>
      <c r="J20" s="839"/>
      <c r="K20" s="237"/>
      <c r="L20" s="839"/>
      <c r="M20" s="839"/>
      <c r="N20" s="839"/>
      <c r="O20" s="839"/>
      <c r="P20" s="839"/>
      <c r="Q20" s="839"/>
      <c r="R20" s="839"/>
      <c r="S20" s="839"/>
      <c r="T20" s="839"/>
      <c r="U20" s="839"/>
      <c r="V20" s="839"/>
      <c r="W20" s="839"/>
      <c r="X20" s="839"/>
      <c r="Y20" s="840"/>
      <c r="Z20" s="841"/>
      <c r="AA20" s="1572"/>
      <c r="AB20" s="1661"/>
      <c r="AC20" s="1660"/>
      <c r="AD20" s="1572"/>
      <c r="AE20" s="1153"/>
      <c r="AF20" s="1119"/>
      <c r="AG20" s="1137"/>
      <c r="AH20" s="1127"/>
      <c r="AI20" s="1126"/>
    </row>
    <row r="21" spans="1:35" s="391" customFormat="1" ht="19.399999999999999" customHeight="1">
      <c r="A21" s="149" t="s">
        <v>151</v>
      </c>
      <c r="B21" s="238"/>
      <c r="C21" s="237"/>
      <c r="D21" s="237"/>
      <c r="E21" s="237"/>
      <c r="F21" s="1572"/>
      <c r="G21" s="237"/>
      <c r="H21" s="839"/>
      <c r="I21" s="839"/>
      <c r="J21" s="839"/>
      <c r="K21" s="237"/>
      <c r="L21" s="839"/>
      <c r="M21" s="839"/>
      <c r="N21" s="839"/>
      <c r="O21" s="839"/>
      <c r="P21" s="839"/>
      <c r="Q21" s="839"/>
      <c r="R21" s="839"/>
      <c r="S21" s="839"/>
      <c r="T21" s="839"/>
      <c r="U21" s="839"/>
      <c r="V21" s="839"/>
      <c r="W21" s="839"/>
      <c r="X21" s="839"/>
      <c r="Y21" s="840"/>
      <c r="Z21" s="841"/>
      <c r="AA21" s="1667"/>
      <c r="AB21" s="3727"/>
      <c r="AC21" s="3728"/>
      <c r="AD21" s="1667"/>
      <c r="AE21" s="1154"/>
      <c r="AF21" s="1120"/>
      <c r="AG21" s="1137"/>
      <c r="AH21" s="1127"/>
      <c r="AI21" s="1126"/>
    </row>
    <row r="22" spans="1:35" s="1656" customFormat="1" ht="19.399999999999999" customHeight="1">
      <c r="A22" s="193" t="s">
        <v>217</v>
      </c>
      <c r="B22" s="848">
        <f t="shared" ref="B22:B24" si="0">$AA22</f>
        <v>5.9</v>
      </c>
      <c r="C22" s="237"/>
      <c r="D22" s="848"/>
      <c r="E22" s="237"/>
      <c r="F22" s="1680"/>
      <c r="G22" s="237"/>
      <c r="H22" s="848"/>
      <c r="I22" s="1660"/>
      <c r="J22" s="1680"/>
      <c r="K22" s="1572"/>
      <c r="L22" s="848"/>
      <c r="M22" s="1660"/>
      <c r="N22" s="1680"/>
      <c r="O22" s="1660"/>
      <c r="P22" s="1680"/>
      <c r="Q22" s="1660"/>
      <c r="R22" s="1680"/>
      <c r="S22" s="1660"/>
      <c r="T22" s="1680"/>
      <c r="U22" s="1660"/>
      <c r="V22" s="1680"/>
      <c r="W22" s="1660"/>
      <c r="X22" s="1680"/>
      <c r="Y22" s="1661"/>
      <c r="Z22" s="1662"/>
      <c r="AA22" s="1680">
        <v>5.9</v>
      </c>
      <c r="AB22" s="1661"/>
      <c r="AC22" s="1660"/>
      <c r="AD22" s="1680">
        <v>8.3000000000000007</v>
      </c>
      <c r="AE22" s="1669"/>
      <c r="AF22" s="1670"/>
      <c r="AG22" s="1681">
        <f>ROUND(SUM(AA22-AD22),1)</f>
        <v>-2.4</v>
      </c>
      <c r="AH22" s="1654"/>
      <c r="AI22" s="1666">
        <f>ROUND(IF(AG22=0,0,AG22/ABS(AD22)),3)</f>
        <v>-0.28899999999999998</v>
      </c>
    </row>
    <row r="23" spans="1:35" s="391" customFormat="1" ht="19.399999999999999" customHeight="1">
      <c r="A23" s="837" t="s">
        <v>169</v>
      </c>
      <c r="B23" s="848">
        <f t="shared" si="0"/>
        <v>0.6</v>
      </c>
      <c r="C23" s="237"/>
      <c r="D23" s="848"/>
      <c r="E23" s="237"/>
      <c r="F23" s="1680"/>
      <c r="G23" s="237"/>
      <c r="H23" s="848"/>
      <c r="I23" s="1660"/>
      <c r="J23" s="1680"/>
      <c r="K23" s="1572"/>
      <c r="L23" s="848"/>
      <c r="M23" s="1660"/>
      <c r="N23" s="1680"/>
      <c r="O23" s="1660"/>
      <c r="P23" s="1680"/>
      <c r="Q23" s="1660"/>
      <c r="R23" s="1680"/>
      <c r="S23" s="1660"/>
      <c r="T23" s="1680"/>
      <c r="U23" s="1660"/>
      <c r="V23" s="1680"/>
      <c r="W23" s="1660"/>
      <c r="X23" s="1680"/>
      <c r="Y23" s="1661"/>
      <c r="Z23" s="1662"/>
      <c r="AA23" s="1680">
        <v>0.6</v>
      </c>
      <c r="AB23" s="1661"/>
      <c r="AC23" s="1660"/>
      <c r="AD23" s="1680">
        <v>0.7</v>
      </c>
      <c r="AE23" s="1154"/>
      <c r="AF23" s="1120"/>
      <c r="AG23" s="1137">
        <f>ROUND(SUM(AA23-AD23),1)</f>
        <v>-0.1</v>
      </c>
      <c r="AH23" s="1141"/>
      <c r="AI23" s="1142">
        <f>ROUND(IF(AG23=0,0,AG23/ABS(AD23)),3)</f>
        <v>-0.14299999999999999</v>
      </c>
    </row>
    <row r="24" spans="1:35" s="1656" customFormat="1" ht="19.399999999999999" customHeight="1">
      <c r="A24" s="193" t="s">
        <v>154</v>
      </c>
      <c r="B24" s="2153">
        <f t="shared" si="0"/>
        <v>1.8</v>
      </c>
      <c r="C24" s="237"/>
      <c r="D24" s="2153"/>
      <c r="E24" s="237"/>
      <c r="F24" s="1680"/>
      <c r="G24" s="237"/>
      <c r="H24" s="2153"/>
      <c r="I24" s="1660"/>
      <c r="J24" s="3703"/>
      <c r="K24" s="1572"/>
      <c r="L24" s="2153"/>
      <c r="M24" s="1660"/>
      <c r="N24" s="1680"/>
      <c r="O24" s="1660"/>
      <c r="P24" s="1680"/>
      <c r="Q24" s="1660"/>
      <c r="R24" s="1658"/>
      <c r="S24" s="1660"/>
      <c r="T24" s="1680"/>
      <c r="U24" s="1660"/>
      <c r="V24" s="1680"/>
      <c r="W24" s="1660"/>
      <c r="X24" s="1680"/>
      <c r="Y24" s="1661"/>
      <c r="Z24" s="1662"/>
      <c r="AA24" s="3729">
        <v>1.8</v>
      </c>
      <c r="AB24" s="1661"/>
      <c r="AC24" s="1660"/>
      <c r="AD24" s="3729">
        <v>3.5</v>
      </c>
      <c r="AE24" s="1668"/>
      <c r="AF24" s="1670"/>
      <c r="AG24" s="1681">
        <f>ROUND(SUM(AA24-AD24),1)</f>
        <v>-1.7</v>
      </c>
      <c r="AH24" s="1654"/>
      <c r="AI24" s="1142">
        <f>ROUND(IF(AD24=0,1,AG24/ABS(AD24)),3)</f>
        <v>-0.48599999999999999</v>
      </c>
    </row>
    <row r="25" spans="1:35" s="391" customFormat="1" ht="22.5" customHeight="1">
      <c r="A25" s="249" t="s">
        <v>155</v>
      </c>
      <c r="B25" s="2104">
        <f>ROUND(SUM(B22)+SUM(B23)+SUM(B24),1)</f>
        <v>8.3000000000000007</v>
      </c>
      <c r="C25" s="382"/>
      <c r="D25" s="849">
        <f>ROUND(SUM(D22)+SUM(D23)+SUM(D24),1)</f>
        <v>0</v>
      </c>
      <c r="E25" s="382"/>
      <c r="F25" s="3282">
        <f>ROUND(SUM(F22)+SUM(F23)+SUM(F24),1)</f>
        <v>0</v>
      </c>
      <c r="G25" s="849"/>
      <c r="H25" s="849">
        <f>ROUND(SUM(H22)+SUM(H23)+SUM(H24),1)</f>
        <v>0</v>
      </c>
      <c r="I25" s="844"/>
      <c r="J25" s="2109">
        <f>ROUND(SUM(J22)+SUM(J23)+SUM(J24),1)</f>
        <v>0</v>
      </c>
      <c r="K25" s="382"/>
      <c r="L25" s="2109">
        <f>ROUND(SUM(L22)+SUM(L23)+SUM(L24),1)</f>
        <v>0</v>
      </c>
      <c r="M25" s="844"/>
      <c r="N25" s="2109">
        <f>ROUND(SUM(N22)+SUM(N23)+SUM(N24),1)</f>
        <v>0</v>
      </c>
      <c r="O25" s="844"/>
      <c r="P25" s="2109">
        <f>ROUND(SUM(P22)+SUM(P23)+SUM(P24),1)</f>
        <v>0</v>
      </c>
      <c r="Q25" s="844"/>
      <c r="R25" s="2104">
        <f>ROUND(SUM(R22)+SUM(R23)+SUM(R24),1)</f>
        <v>0</v>
      </c>
      <c r="S25" s="844"/>
      <c r="T25" s="2104">
        <f>ROUND(SUM(T22)+SUM(T23)+SUM(T24),1)</f>
        <v>0</v>
      </c>
      <c r="U25" s="844"/>
      <c r="V25" s="2109">
        <f>ROUND(SUM(V22)+SUM(V23)+SUM(V24),1)</f>
        <v>0</v>
      </c>
      <c r="W25" s="844"/>
      <c r="X25" s="2109">
        <f>ROUND(SUM(X22)+SUM(X23)+SUM(X24),1)</f>
        <v>0</v>
      </c>
      <c r="Y25" s="845"/>
      <c r="Z25" s="846"/>
      <c r="AA25" s="2191">
        <f>ROUND(SUM(AA22:AA24),1)</f>
        <v>8.3000000000000007</v>
      </c>
      <c r="AB25" s="3264"/>
      <c r="AC25" s="3265"/>
      <c r="AD25" s="2191">
        <f>ROUND(SUM(AD22:AD24),1)</f>
        <v>12.5</v>
      </c>
      <c r="AE25" s="1155"/>
      <c r="AF25" s="1120"/>
      <c r="AG25" s="1159">
        <f>ROUND(SUM(AG22:AG24),1)</f>
        <v>-4.2</v>
      </c>
      <c r="AH25" s="1138"/>
      <c r="AI25" s="1161">
        <f>ROUND(IF(AG25=0,0,AG25/ABS(AD25)),3)</f>
        <v>-0.33600000000000002</v>
      </c>
    </row>
    <row r="26" spans="1:35" s="391" customFormat="1" ht="19.399999999999999" customHeight="1">
      <c r="A26" s="149"/>
      <c r="B26" s="381"/>
      <c r="C26" s="237"/>
      <c r="D26" s="381" t="s">
        <v>14</v>
      </c>
      <c r="E26" s="237"/>
      <c r="F26" s="2192"/>
      <c r="G26" s="237"/>
      <c r="H26" s="847"/>
      <c r="I26" s="839"/>
      <c r="J26" s="847"/>
      <c r="K26" s="237"/>
      <c r="L26" s="847"/>
      <c r="M26" s="839"/>
      <c r="N26" s="847"/>
      <c r="O26" s="839"/>
      <c r="P26" s="847"/>
      <c r="Q26" s="839"/>
      <c r="R26" s="847"/>
      <c r="S26" s="839"/>
      <c r="T26" s="847"/>
      <c r="U26" s="839"/>
      <c r="V26" s="847"/>
      <c r="W26" s="839"/>
      <c r="X26" s="847"/>
      <c r="Y26" s="840"/>
      <c r="Z26" s="841"/>
      <c r="AA26" s="2192"/>
      <c r="AB26" s="1661"/>
      <c r="AC26" s="1659"/>
      <c r="AD26" s="2192"/>
      <c r="AE26" s="1137"/>
      <c r="AF26" s="1119"/>
      <c r="AG26" s="1137"/>
      <c r="AH26" s="1127"/>
      <c r="AI26" s="1126"/>
    </row>
    <row r="27" spans="1:35" s="391" customFormat="1" ht="19.399999999999999" customHeight="1">
      <c r="A27" s="249" t="s">
        <v>156</v>
      </c>
      <c r="B27" s="237"/>
      <c r="C27" s="237"/>
      <c r="D27" s="241" t="s">
        <v>14</v>
      </c>
      <c r="E27" s="237"/>
      <c r="F27" s="1572"/>
      <c r="G27" s="237"/>
      <c r="H27" s="839"/>
      <c r="I27" s="839"/>
      <c r="J27" s="839"/>
      <c r="K27" s="237"/>
      <c r="L27" s="839"/>
      <c r="M27" s="839"/>
      <c r="N27" s="839"/>
      <c r="O27" s="839"/>
      <c r="P27" s="839"/>
      <c r="Q27" s="839"/>
      <c r="R27" s="839"/>
      <c r="S27" s="839"/>
      <c r="T27" s="839"/>
      <c r="U27" s="839"/>
      <c r="V27" s="839"/>
      <c r="W27" s="839"/>
      <c r="X27" s="839"/>
      <c r="Y27" s="840"/>
      <c r="Z27" s="841"/>
      <c r="AA27" s="1572"/>
      <c r="AB27" s="1661"/>
      <c r="AC27" s="1660"/>
      <c r="AD27" s="1572"/>
      <c r="AE27" s="1153"/>
      <c r="AF27" s="1119"/>
      <c r="AG27" s="1137"/>
      <c r="AH27" s="1127"/>
      <c r="AI27" s="1126"/>
    </row>
    <row r="28" spans="1:35" s="391" customFormat="1" ht="18.75" customHeight="1">
      <c r="A28" s="249" t="s">
        <v>44</v>
      </c>
      <c r="B28" s="850">
        <f>ROUND(B17-B25,1)</f>
        <v>-2.4</v>
      </c>
      <c r="C28" s="382"/>
      <c r="D28" s="850">
        <f>ROUND(D17-D25,1)</f>
        <v>0</v>
      </c>
      <c r="E28" s="382"/>
      <c r="F28" s="3705">
        <f>ROUND(F17-F25,1)</f>
        <v>0</v>
      </c>
      <c r="G28" s="382"/>
      <c r="H28" s="850">
        <f>ROUND(H17-H25,1)</f>
        <v>0</v>
      </c>
      <c r="I28" s="383"/>
      <c r="J28" s="850">
        <f>ROUND(J17-J25,1)</f>
        <v>0</v>
      </c>
      <c r="K28" s="382"/>
      <c r="L28" s="850">
        <f>ROUND(L17-L25,1)</f>
        <v>0</v>
      </c>
      <c r="M28" s="844"/>
      <c r="N28" s="850">
        <f>ROUND(N17-N25,1)</f>
        <v>0</v>
      </c>
      <c r="O28" s="844"/>
      <c r="P28" s="850">
        <f>ROUND(P17-P25,1)</f>
        <v>0</v>
      </c>
      <c r="Q28" s="844"/>
      <c r="R28" s="850">
        <f>ROUND(R17-R25,1)</f>
        <v>0</v>
      </c>
      <c r="S28" s="844"/>
      <c r="T28" s="850">
        <f>ROUND(T17-T25,1)</f>
        <v>0</v>
      </c>
      <c r="U28" s="844"/>
      <c r="V28" s="850">
        <f>ROUND(V17-V25,1)</f>
        <v>0</v>
      </c>
      <c r="W28" s="844"/>
      <c r="X28" s="850">
        <f>ROUND(X17-X25,1)</f>
        <v>0</v>
      </c>
      <c r="Y28" s="845"/>
      <c r="Z28" s="846"/>
      <c r="AA28" s="3266">
        <f>ROUND(AA17-AA25,1)</f>
        <v>-2.4</v>
      </c>
      <c r="AB28" s="3264"/>
      <c r="AC28" s="3730"/>
      <c r="AD28" s="3266">
        <f>ROUND(AD17-AD25,1)</f>
        <v>-4.2</v>
      </c>
      <c r="AE28" s="1156"/>
      <c r="AF28" s="1120"/>
      <c r="AG28" s="1405">
        <f>ROUND(SUM(AA28-AD28),1)</f>
        <v>1.8</v>
      </c>
      <c r="AH28" s="1127"/>
      <c r="AI28" s="1579">
        <f>ROUND(IF(AG28=0,0,AG28/ABS(AD28)),3)</f>
        <v>0.42899999999999999</v>
      </c>
    </row>
    <row r="29" spans="1:35" s="391" customFormat="1" ht="19.399999999999999" customHeight="1">
      <c r="A29" s="149"/>
      <c r="B29" s="241"/>
      <c r="C29" s="237"/>
      <c r="D29" s="241" t="s">
        <v>14</v>
      </c>
      <c r="E29" s="237"/>
      <c r="F29" s="1665"/>
      <c r="G29" s="237"/>
      <c r="H29" s="838"/>
      <c r="I29" s="839"/>
      <c r="J29" s="838"/>
      <c r="K29" s="237"/>
      <c r="L29" s="838"/>
      <c r="M29" s="839"/>
      <c r="N29" s="847"/>
      <c r="O29" s="839"/>
      <c r="P29" s="838"/>
      <c r="Q29" s="839"/>
      <c r="R29" s="847"/>
      <c r="S29" s="839"/>
      <c r="T29" s="838"/>
      <c r="U29" s="839"/>
      <c r="V29" s="838"/>
      <c r="W29" s="839"/>
      <c r="X29" s="847"/>
      <c r="Y29" s="840"/>
      <c r="Z29" s="841"/>
      <c r="AA29" s="1665"/>
      <c r="AB29" s="1661"/>
      <c r="AC29" s="1659"/>
      <c r="AD29" s="1665"/>
      <c r="AE29" s="1137"/>
      <c r="AF29" s="1121"/>
      <c r="AG29" s="1137"/>
      <c r="AH29" s="1127"/>
      <c r="AI29" s="1126"/>
    </row>
    <row r="30" spans="1:35" s="391" customFormat="1" ht="19.399999999999999" customHeight="1">
      <c r="A30" s="249" t="s">
        <v>45</v>
      </c>
      <c r="B30" s="237"/>
      <c r="C30" s="237"/>
      <c r="D30" s="237"/>
      <c r="E30" s="237"/>
      <c r="F30" s="1572"/>
      <c r="G30" s="237"/>
      <c r="H30" s="839"/>
      <c r="I30" s="839"/>
      <c r="J30" s="839"/>
      <c r="K30" s="237"/>
      <c r="L30" s="839"/>
      <c r="M30" s="839"/>
      <c r="N30" s="839"/>
      <c r="O30" s="839"/>
      <c r="P30" s="839"/>
      <c r="Q30" s="839"/>
      <c r="R30" s="839"/>
      <c r="S30" s="839"/>
      <c r="T30" s="839"/>
      <c r="U30" s="839"/>
      <c r="V30" s="839"/>
      <c r="W30" s="839"/>
      <c r="X30" s="839"/>
      <c r="Y30" s="840"/>
      <c r="Z30" s="841"/>
      <c r="AA30" s="1572"/>
      <c r="AB30" s="1661"/>
      <c r="AC30" s="1660"/>
      <c r="AD30" s="1572"/>
      <c r="AE30" s="1153"/>
      <c r="AF30" s="1121"/>
      <c r="AG30" s="1137"/>
      <c r="AH30" s="1127"/>
      <c r="AI30" s="1126"/>
    </row>
    <row r="31" spans="1:35" s="391" customFormat="1" ht="19.399999999999999" customHeight="1">
      <c r="A31" s="149" t="s">
        <v>180</v>
      </c>
      <c r="B31" s="848">
        <f t="shared" ref="B31:B32" si="1">$AA31</f>
        <v>0</v>
      </c>
      <c r="C31" s="237"/>
      <c r="D31" s="848"/>
      <c r="E31" s="237"/>
      <c r="F31" s="1680"/>
      <c r="G31" s="237"/>
      <c r="H31" s="848"/>
      <c r="I31" s="1660"/>
      <c r="J31" s="1680"/>
      <c r="K31" s="1572"/>
      <c r="L31" s="848"/>
      <c r="M31" s="1660"/>
      <c r="N31" s="1680"/>
      <c r="O31" s="1660"/>
      <c r="P31" s="1680"/>
      <c r="Q31" s="1660"/>
      <c r="R31" s="1680"/>
      <c r="S31" s="1660"/>
      <c r="T31" s="1680"/>
      <c r="U31" s="1660"/>
      <c r="V31" s="1680"/>
      <c r="W31" s="1660"/>
      <c r="X31" s="1680"/>
      <c r="Y31" s="1661"/>
      <c r="Z31" s="1662"/>
      <c r="AA31" s="1680">
        <v>0</v>
      </c>
      <c r="AB31" s="1661"/>
      <c r="AC31" s="1660"/>
      <c r="AD31" s="1680">
        <v>0</v>
      </c>
      <c r="AE31" s="1154"/>
      <c r="AF31" s="1122"/>
      <c r="AG31" s="241">
        <f>ROUND(SUM(AA31-AD31),1)</f>
        <v>0</v>
      </c>
      <c r="AH31" s="1141"/>
      <c r="AI31" s="1142">
        <f>ROUND(IF(AG31=0,0,AG31/ABS(AD31)),3)</f>
        <v>0</v>
      </c>
    </row>
    <row r="32" spans="1:35" s="391" customFormat="1" ht="19.399999999999999" customHeight="1">
      <c r="A32" s="149" t="s">
        <v>181</v>
      </c>
      <c r="B32" s="848">
        <f t="shared" si="1"/>
        <v>0</v>
      </c>
      <c r="C32" s="237"/>
      <c r="D32" s="848"/>
      <c r="E32" s="237"/>
      <c r="F32" s="1680"/>
      <c r="G32" s="237"/>
      <c r="H32" s="848"/>
      <c r="I32" s="1660"/>
      <c r="J32" s="1680"/>
      <c r="K32" s="1572"/>
      <c r="L32" s="848"/>
      <c r="M32" s="1660"/>
      <c r="N32" s="1680"/>
      <c r="O32" s="1660"/>
      <c r="P32" s="1680"/>
      <c r="Q32" s="1660"/>
      <c r="R32" s="1680"/>
      <c r="S32" s="1660"/>
      <c r="T32" s="1680"/>
      <c r="U32" s="1660"/>
      <c r="V32" s="1680"/>
      <c r="W32" s="1660"/>
      <c r="X32" s="1680"/>
      <c r="Y32" s="1661"/>
      <c r="Z32" s="1662"/>
      <c r="AA32" s="3729">
        <v>0</v>
      </c>
      <c r="AB32" s="1661"/>
      <c r="AC32" s="1660"/>
      <c r="AD32" s="3729">
        <v>0</v>
      </c>
      <c r="AE32" s="1154"/>
      <c r="AF32" s="1121"/>
      <c r="AG32" s="241">
        <f>ROUND(SUM(AA32-AD32),1)</f>
        <v>0</v>
      </c>
      <c r="AH32" s="1141"/>
      <c r="AI32" s="1142">
        <f>ROUND(IF(AG32=0,0,AG32/ABS(AD32)),3)</f>
        <v>0</v>
      </c>
    </row>
    <row r="33" spans="1:35" s="391" customFormat="1" ht="22.5" customHeight="1">
      <c r="A33" s="249" t="s">
        <v>206</v>
      </c>
      <c r="B33" s="852">
        <f>ROUND(SUM(B31:B32),1)</f>
        <v>0</v>
      </c>
      <c r="C33" s="382"/>
      <c r="D33" s="852">
        <f>ROUND(SUM(D31:D32),1)</f>
        <v>0</v>
      </c>
      <c r="E33" s="384"/>
      <c r="F33" s="3706">
        <f>ROUND(SUM(F31:F32),1)</f>
        <v>0</v>
      </c>
      <c r="G33" s="384"/>
      <c r="H33" s="852">
        <f>ROUND(SUM(H31:H32),1)</f>
        <v>0</v>
      </c>
      <c r="I33" s="853"/>
      <c r="J33" s="852">
        <f>ROUND(SUM(J31:J32),1)</f>
        <v>0</v>
      </c>
      <c r="K33" s="384"/>
      <c r="L33" s="852">
        <f>ROUND(SUM(L31:L32),1)</f>
        <v>0</v>
      </c>
      <c r="M33" s="853"/>
      <c r="N33" s="852">
        <f>ROUND(SUM(N31:N32),1)</f>
        <v>0</v>
      </c>
      <c r="O33" s="853"/>
      <c r="P33" s="852">
        <f>ROUND(SUM(P31:P32),1)</f>
        <v>0</v>
      </c>
      <c r="Q33" s="853"/>
      <c r="R33" s="852">
        <f>ROUND(SUM(R31:R32),1)</f>
        <v>0</v>
      </c>
      <c r="S33" s="853"/>
      <c r="T33" s="852">
        <f>ROUND(SUM(T31:T32),1)</f>
        <v>0</v>
      </c>
      <c r="U33" s="853"/>
      <c r="V33" s="852">
        <f>ROUND(SUM(V31:V32),1)</f>
        <v>0</v>
      </c>
      <c r="W33" s="853"/>
      <c r="X33" s="852">
        <f>ROUND(SUM(X31:X32),1)</f>
        <v>0</v>
      </c>
      <c r="Y33" s="845"/>
      <c r="Z33" s="846"/>
      <c r="AA33" s="3267">
        <f>ROUND(SUM(AA31:AA32),1)</f>
        <v>0</v>
      </c>
      <c r="AB33" s="3731"/>
      <c r="AC33" s="3732"/>
      <c r="AD33" s="3267">
        <f>ROUND(SUM(AD31:AD32),1)</f>
        <v>0</v>
      </c>
      <c r="AE33" s="1157"/>
      <c r="AF33" s="1122"/>
      <c r="AG33" s="1159">
        <f>ROUND(SUM(AG31-AG32),1)</f>
        <v>0</v>
      </c>
      <c r="AH33" s="1145"/>
      <c r="AI33" s="1161">
        <f>ROUND(IF(AG33=0,0,AG33/ABS(AD33)),3)</f>
        <v>0</v>
      </c>
    </row>
    <row r="34" spans="1:35" s="391" customFormat="1" ht="19.399999999999999" customHeight="1">
      <c r="A34" s="149"/>
      <c r="B34" s="381"/>
      <c r="C34" s="237"/>
      <c r="D34" s="381" t="s">
        <v>14</v>
      </c>
      <c r="E34" s="237"/>
      <c r="F34" s="2192"/>
      <c r="G34" s="237"/>
      <c r="H34" s="847"/>
      <c r="I34" s="839"/>
      <c r="J34" s="847"/>
      <c r="K34" s="237"/>
      <c r="L34" s="847"/>
      <c r="M34" s="839"/>
      <c r="N34" s="847"/>
      <c r="O34" s="839"/>
      <c r="P34" s="847"/>
      <c r="Q34" s="839"/>
      <c r="R34" s="847"/>
      <c r="S34" s="839"/>
      <c r="T34" s="847"/>
      <c r="U34" s="839"/>
      <c r="V34" s="847"/>
      <c r="W34" s="839"/>
      <c r="X34" s="847"/>
      <c r="Y34" s="840"/>
      <c r="Z34" s="841"/>
      <c r="AA34" s="2192"/>
      <c r="AB34" s="1661"/>
      <c r="AC34" s="1659"/>
      <c r="AD34" s="2192"/>
      <c r="AE34" s="1137"/>
      <c r="AF34" s="1119"/>
      <c r="AG34" s="1137"/>
      <c r="AH34" s="1127"/>
      <c r="AI34" s="1126"/>
    </row>
    <row r="35" spans="1:35" s="391" customFormat="1" ht="19.399999999999999" customHeight="1">
      <c r="A35" s="249" t="s">
        <v>164</v>
      </c>
      <c r="B35" s="237"/>
      <c r="C35" s="237"/>
      <c r="D35" s="237" t="s">
        <v>14</v>
      </c>
      <c r="E35" s="237"/>
      <c r="F35" s="1572"/>
      <c r="G35" s="237"/>
      <c r="H35" s="839"/>
      <c r="I35" s="839"/>
      <c r="J35" s="839"/>
      <c r="K35" s="237"/>
      <c r="L35" s="839"/>
      <c r="M35" s="839"/>
      <c r="N35" s="839"/>
      <c r="O35" s="839"/>
      <c r="P35" s="839"/>
      <c r="Q35" s="839"/>
      <c r="R35" s="839"/>
      <c r="S35" s="839"/>
      <c r="T35" s="839"/>
      <c r="U35" s="839"/>
      <c r="V35" s="839"/>
      <c r="W35" s="839"/>
      <c r="X35" s="839"/>
      <c r="Y35" s="840"/>
      <c r="Z35" s="841"/>
      <c r="AA35" s="1572"/>
      <c r="AB35" s="1661"/>
      <c r="AC35" s="1660"/>
      <c r="AD35" s="1572"/>
      <c r="AE35" s="1153"/>
      <c r="AF35" s="1119"/>
      <c r="AG35" s="1137"/>
      <c r="AH35" s="1127"/>
      <c r="AI35" s="1126"/>
    </row>
    <row r="36" spans="1:35" s="391" customFormat="1" ht="19.399999999999999" customHeight="1">
      <c r="A36" s="249" t="s">
        <v>225</v>
      </c>
      <c r="B36" s="237"/>
      <c r="C36" s="237"/>
      <c r="D36" s="237"/>
      <c r="E36" s="237"/>
      <c r="F36" s="1572"/>
      <c r="G36" s="237"/>
      <c r="H36" s="839"/>
      <c r="I36" s="839"/>
      <c r="J36" s="839"/>
      <c r="K36" s="237"/>
      <c r="L36" s="839"/>
      <c r="M36" s="839"/>
      <c r="N36" s="839"/>
      <c r="O36" s="839"/>
      <c r="P36" s="839"/>
      <c r="Q36" s="839"/>
      <c r="R36" s="839"/>
      <c r="S36" s="839"/>
      <c r="T36" s="860"/>
      <c r="U36" s="839"/>
      <c r="V36" s="860"/>
      <c r="W36" s="839"/>
      <c r="X36" s="839"/>
      <c r="Y36" s="840"/>
      <c r="Z36" s="841"/>
      <c r="AA36" s="1572"/>
      <c r="AB36" s="1661"/>
      <c r="AC36" s="1660"/>
      <c r="AD36" s="2197"/>
      <c r="AE36" s="1158"/>
      <c r="AF36" s="1123"/>
      <c r="AG36" s="1137"/>
      <c r="AH36" s="1127"/>
      <c r="AI36" s="1126"/>
    </row>
    <row r="37" spans="1:35" s="393" customFormat="1" ht="19.399999999999999" customHeight="1">
      <c r="A37" s="249" t="s">
        <v>859</v>
      </c>
      <c r="B37" s="849">
        <f>ROUND(+B28+B33,1)</f>
        <v>-2.4</v>
      </c>
      <c r="C37" s="382"/>
      <c r="D37" s="849">
        <f>ROUND(+D28+D33,1)</f>
        <v>0</v>
      </c>
      <c r="E37" s="384"/>
      <c r="F37" s="1692">
        <f>ROUND(+F28+F33,1)</f>
        <v>0</v>
      </c>
      <c r="G37" s="384"/>
      <c r="H37" s="849">
        <f>ROUND(+H28+H33,1)</f>
        <v>0</v>
      </c>
      <c r="I37" s="853"/>
      <c r="J37" s="849">
        <f>ROUND(+J28+J33,1)</f>
        <v>0</v>
      </c>
      <c r="K37" s="384"/>
      <c r="L37" s="849">
        <f>ROUND(+L28+L33,1)</f>
        <v>0</v>
      </c>
      <c r="M37" s="854"/>
      <c r="N37" s="849">
        <f>ROUND(+N28+N33,1)</f>
        <v>0</v>
      </c>
      <c r="O37" s="854"/>
      <c r="P37" s="849">
        <f>ROUND(+P28+P33,1)</f>
        <v>0</v>
      </c>
      <c r="Q37" s="854"/>
      <c r="R37" s="849">
        <f>ROUND(+R28+R33,1)</f>
        <v>0</v>
      </c>
      <c r="S37" s="853"/>
      <c r="T37" s="849">
        <f>ROUND(+T28+T33,1)</f>
        <v>0</v>
      </c>
      <c r="U37" s="853"/>
      <c r="V37" s="849">
        <f>ROUND(+V28+V33,1)</f>
        <v>0</v>
      </c>
      <c r="W37" s="853"/>
      <c r="X37" s="849">
        <f>ROUND(+X28+X33,1)</f>
        <v>0</v>
      </c>
      <c r="Y37" s="845"/>
      <c r="Z37" s="846"/>
      <c r="AA37" s="2193">
        <f>ROUND(AA28+AA33,1)</f>
        <v>-2.4</v>
      </c>
      <c r="AB37" s="3253"/>
      <c r="AC37" s="3733"/>
      <c r="AD37" s="2193">
        <f>ROUND(AD28+AD33,1)</f>
        <v>-4.2</v>
      </c>
      <c r="AE37" s="1156"/>
      <c r="AF37" s="1124"/>
      <c r="AG37" s="1405">
        <f>ROUND(SUM(AA37-AD37),1)</f>
        <v>1.8</v>
      </c>
      <c r="AH37" s="1127"/>
      <c r="AI37" s="1578">
        <f>ROUND(IF(AG37=0,0,AG37/ABS(AD37)),3)</f>
        <v>0.42899999999999999</v>
      </c>
    </row>
    <row r="38" spans="1:35" s="391" customFormat="1" ht="22.5" customHeight="1" thickBot="1">
      <c r="A38" s="249" t="s">
        <v>140</v>
      </c>
      <c r="B38" s="855">
        <f>ROUND(B13+B37,1)</f>
        <v>-2.4</v>
      </c>
      <c r="C38" s="377"/>
      <c r="D38" s="855">
        <f>ROUND(D13+D37,1)</f>
        <v>0</v>
      </c>
      <c r="E38" s="377"/>
      <c r="F38" s="3268">
        <f>ROUND(F13+F37,1)</f>
        <v>0</v>
      </c>
      <c r="G38" s="377"/>
      <c r="H38" s="855">
        <f>ROUND(H13+H37,1)</f>
        <v>0</v>
      </c>
      <c r="I38" s="856"/>
      <c r="J38" s="855">
        <f>ROUND(J13+J37,1)</f>
        <v>0</v>
      </c>
      <c r="K38" s="377"/>
      <c r="L38" s="855">
        <f>ROUND(L13+L37,1)</f>
        <v>0</v>
      </c>
      <c r="M38" s="378"/>
      <c r="N38" s="855">
        <f>ROUND(N13+N37,1)</f>
        <v>0</v>
      </c>
      <c r="O38" s="378"/>
      <c r="P38" s="855">
        <f>ROUND(P13+P37,1)</f>
        <v>0</v>
      </c>
      <c r="Q38" s="378"/>
      <c r="R38" s="855">
        <f>ROUND(R13+R37,1)</f>
        <v>0</v>
      </c>
      <c r="S38" s="856"/>
      <c r="T38" s="855">
        <f>ROUND(T13+T37,1)</f>
        <v>0</v>
      </c>
      <c r="U38" s="856"/>
      <c r="V38" s="855">
        <f>ROUND(V13+V37,1)</f>
        <v>0</v>
      </c>
      <c r="W38" s="856"/>
      <c r="X38" s="855">
        <f>ROUND(X13+X37,1)</f>
        <v>0</v>
      </c>
      <c r="Y38" s="830"/>
      <c r="Z38" s="831"/>
      <c r="AA38" s="3268">
        <f>ROUND(SUM(AA13,AA37),1)</f>
        <v>-2.4</v>
      </c>
      <c r="AB38" s="2199"/>
      <c r="AC38" s="3734"/>
      <c r="AD38" s="3735">
        <f>ROUND(SUM(AD13,AD37),1)</f>
        <v>-5.3</v>
      </c>
      <c r="AE38" s="1134"/>
      <c r="AF38" s="1125"/>
      <c r="AG38" s="1162">
        <f>ROUND(SUM(AA38-AD38),1)</f>
        <v>2.9</v>
      </c>
      <c r="AH38" s="1144"/>
      <c r="AI38" s="1470">
        <f>ROUND(IF(AG38=0,0,AG38/ABS(AD38)),3)</f>
        <v>0.54700000000000004</v>
      </c>
    </row>
    <row r="39" spans="1:35" s="391" customFormat="1" ht="19.399999999999999" customHeight="1" thickTop="1">
      <c r="A39" s="149" t="s">
        <v>14</v>
      </c>
      <c r="B39" s="857"/>
      <c r="C39" s="858"/>
      <c r="D39" s="857"/>
      <c r="E39" s="858"/>
      <c r="F39" s="3269"/>
      <c r="G39" s="858"/>
      <c r="H39" s="857"/>
      <c r="I39" s="858"/>
      <c r="J39" s="857"/>
      <c r="K39" s="858"/>
      <c r="L39" s="857"/>
      <c r="M39" s="858"/>
      <c r="N39" s="857"/>
      <c r="O39" s="858"/>
      <c r="P39" s="857"/>
      <c r="Q39" s="858"/>
      <c r="R39" s="857"/>
      <c r="S39" s="858"/>
      <c r="T39" s="857"/>
      <c r="U39" s="858"/>
      <c r="V39" s="857"/>
      <c r="W39" s="858"/>
      <c r="X39" s="857"/>
      <c r="Y39" s="858"/>
      <c r="Z39" s="858"/>
      <c r="AA39" s="3269"/>
      <c r="AB39" s="2201"/>
      <c r="AC39" s="2201"/>
      <c r="AD39" s="2201"/>
      <c r="AE39" s="1143"/>
      <c r="AF39" s="1143"/>
      <c r="AG39" s="1135"/>
      <c r="AH39" s="1127"/>
      <c r="AI39" s="1126"/>
    </row>
    <row r="40" spans="1:35" s="391" customFormat="1" ht="19.399999999999999" customHeight="1">
      <c r="B40" s="663"/>
      <c r="C40" s="809"/>
      <c r="D40" s="663"/>
      <c r="E40" s="663"/>
      <c r="F40" s="645"/>
      <c r="G40" s="663"/>
      <c r="H40" s="663"/>
      <c r="I40" s="663"/>
      <c r="J40" s="663"/>
      <c r="K40" s="663"/>
      <c r="L40" s="663"/>
      <c r="M40" s="663"/>
      <c r="N40" s="663"/>
      <c r="O40" s="663"/>
      <c r="P40" s="663"/>
      <c r="Q40" s="663"/>
      <c r="R40" s="663"/>
      <c r="S40" s="663"/>
      <c r="T40" s="663"/>
      <c r="U40" s="663"/>
      <c r="V40" s="663"/>
      <c r="W40" s="663"/>
      <c r="X40" s="663"/>
      <c r="Y40" s="663"/>
      <c r="Z40" s="859"/>
      <c r="AA40" s="2201"/>
      <c r="AB40" s="2201"/>
      <c r="AC40" s="2201"/>
      <c r="AD40" s="2201"/>
      <c r="AE40" s="1143"/>
      <c r="AF40" s="1143"/>
      <c r="AG40" s="1135"/>
      <c r="AH40" s="1127"/>
      <c r="AI40" s="1126"/>
    </row>
    <row r="41" spans="1:35" ht="15.75" customHeight="1">
      <c r="A41" s="394"/>
      <c r="B41" s="809"/>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140"/>
      <c r="AB41" s="140"/>
      <c r="AC41" s="140"/>
      <c r="AD41" s="3271"/>
      <c r="AE41" s="1129"/>
      <c r="AF41" s="1129"/>
      <c r="AG41" s="1135"/>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84"/>
      <c r="B43" s="809"/>
      <c r="C43" s="809"/>
      <c r="D43" s="809"/>
      <c r="E43" s="809"/>
      <c r="F43" s="809"/>
      <c r="G43" s="809"/>
      <c r="H43" s="809"/>
      <c r="I43" s="809"/>
      <c r="J43" s="809"/>
      <c r="K43" s="809"/>
      <c r="L43" s="809"/>
      <c r="M43" s="809"/>
      <c r="N43" s="809"/>
      <c r="O43" s="809"/>
      <c r="P43" s="809"/>
      <c r="Q43" s="809"/>
      <c r="R43" s="809"/>
      <c r="S43" s="809"/>
      <c r="T43" s="809"/>
      <c r="U43" s="809"/>
      <c r="V43" s="809"/>
      <c r="W43" s="809"/>
      <c r="X43" s="809"/>
      <c r="Y43" s="809"/>
      <c r="Z43" s="809"/>
      <c r="AA43" s="140"/>
      <c r="AB43" s="140"/>
      <c r="AC43" s="140"/>
      <c r="AD43" s="3271"/>
      <c r="AE43" s="1129"/>
      <c r="AF43" s="1129"/>
      <c r="AG43" s="1135"/>
    </row>
    <row r="44" spans="1:35">
      <c r="A44" s="684"/>
      <c r="B44" s="809"/>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c r="AA44" s="140"/>
      <c r="AB44" s="140"/>
      <c r="AC44" s="140"/>
      <c r="AD44" s="3271"/>
      <c r="AE44" s="1129"/>
      <c r="AF44" s="1129"/>
      <c r="AG44" s="1135"/>
    </row>
    <row r="45" spans="1:35">
      <c r="A45" s="684"/>
      <c r="B45" s="809"/>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140"/>
      <c r="AB45" s="140"/>
      <c r="AC45" s="140"/>
      <c r="AD45" s="3271"/>
      <c r="AE45" s="1129"/>
      <c r="AF45" s="1129"/>
    </row>
    <row r="46" spans="1:35">
      <c r="A46" s="684"/>
      <c r="B46" s="809"/>
      <c r="C46" s="809"/>
      <c r="D46" s="809"/>
      <c r="E46" s="809"/>
      <c r="F46" s="809"/>
      <c r="G46" s="809"/>
      <c r="H46" s="809"/>
      <c r="I46" s="809"/>
      <c r="J46" s="809"/>
      <c r="K46" s="809"/>
      <c r="L46" s="809"/>
      <c r="M46" s="809"/>
      <c r="N46" s="809"/>
      <c r="O46" s="809"/>
      <c r="P46" s="809"/>
      <c r="Q46" s="809"/>
      <c r="R46" s="809"/>
      <c r="S46" s="809"/>
      <c r="T46" s="809"/>
      <c r="U46" s="809"/>
      <c r="V46" s="809"/>
      <c r="W46" s="809"/>
      <c r="X46" s="809"/>
      <c r="Y46" s="809"/>
      <c r="Z46" s="809"/>
      <c r="AA46" s="140"/>
      <c r="AB46" s="140"/>
      <c r="AC46" s="140"/>
      <c r="AD46" s="3271"/>
      <c r="AE46" s="1129"/>
      <c r="AF46" s="1129"/>
    </row>
    <row r="47" spans="1:35">
      <c r="A47" s="684"/>
      <c r="B47" s="684"/>
      <c r="C47" s="684"/>
      <c r="D47" s="684"/>
      <c r="E47" s="684"/>
      <c r="F47" s="684"/>
      <c r="G47" s="684"/>
      <c r="H47" s="684"/>
      <c r="I47" s="684"/>
      <c r="J47" s="684"/>
      <c r="K47" s="684"/>
      <c r="L47" s="684"/>
      <c r="M47" s="684"/>
      <c r="N47" s="684"/>
      <c r="O47" s="684"/>
      <c r="P47" s="684"/>
      <c r="Q47" s="684"/>
      <c r="R47" s="684"/>
      <c r="S47" s="684"/>
      <c r="T47" s="684"/>
      <c r="U47" s="684"/>
      <c r="V47" s="684"/>
      <c r="W47" s="684"/>
      <c r="X47" s="684"/>
      <c r="Y47" s="684"/>
      <c r="Z47" s="684"/>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I47"/>
  <sheetViews>
    <sheetView showGridLines="0" zoomScale="80" workbookViewId="0"/>
  </sheetViews>
  <sheetFormatPr defaultColWidth="8.765625" defaultRowHeight="12.5"/>
  <cols>
    <col min="1" max="1" width="46.765625" style="389" customWidth="1"/>
    <col min="2" max="2" width="10" style="389" customWidth="1"/>
    <col min="3" max="3" width="1.765625" style="389" customWidth="1"/>
    <col min="4" max="4" width="10.765625" style="389" customWidth="1"/>
    <col min="5" max="5" width="1.765625" style="389" customWidth="1"/>
    <col min="6" max="6" width="10" style="389" customWidth="1"/>
    <col min="7" max="7" width="1.765625" style="389" customWidth="1"/>
    <col min="8" max="8" width="10" style="389" customWidth="1"/>
    <col min="9" max="9" width="1.765625" style="389" customWidth="1"/>
    <col min="10" max="10" width="10.765625" style="389" customWidth="1"/>
    <col min="11" max="11" width="1.765625" style="389" customWidth="1"/>
    <col min="12" max="12" width="14.07421875" style="389" customWidth="1"/>
    <col min="13" max="13" width="1.765625" style="389" customWidth="1"/>
    <col min="14" max="14" width="15.4609375" style="389" bestFit="1" customWidth="1"/>
    <col min="15" max="15" width="1.765625" style="389" customWidth="1"/>
    <col min="16" max="16" width="13.53515625" style="389" bestFit="1" customWidth="1"/>
    <col min="17" max="17" width="1.765625" style="389" customWidth="1"/>
    <col min="18" max="18" width="15.07421875" style="389" bestFit="1" customWidth="1"/>
    <col min="19" max="19" width="1.765625" style="389" customWidth="1"/>
    <col min="20" max="20" width="11" style="389" bestFit="1" customWidth="1"/>
    <col min="21" max="21" width="1.765625" style="389" customWidth="1"/>
    <col min="22" max="22" width="12.765625" style="389" bestFit="1" customWidth="1"/>
    <col min="23" max="23" width="1.765625" style="389" customWidth="1"/>
    <col min="24" max="24" width="8.765625" style="2202" customWidth="1"/>
    <col min="25" max="26" width="1.765625" style="2202" customWidth="1"/>
    <col min="27" max="27" width="10.07421875" style="2202" customWidth="1"/>
    <col min="28" max="29" width="1.765625" style="2202" customWidth="1"/>
    <col min="30" max="30" width="10.07421875" style="2202" customWidth="1"/>
    <col min="31" max="31" width="1.765625" style="2202" customWidth="1"/>
    <col min="32" max="32" width="2.4609375" style="2202" customWidth="1"/>
    <col min="33" max="33" width="10.07421875" style="3292" bestFit="1" customWidth="1"/>
    <col min="34" max="34" width="1.765625" style="396" customWidth="1"/>
    <col min="35" max="35" width="11.07421875" style="389" customWidth="1"/>
    <col min="36" max="16384" width="8.765625" style="389"/>
  </cols>
  <sheetData>
    <row r="1" spans="1:35" ht="15.5">
      <c r="A1" s="640" t="s">
        <v>885</v>
      </c>
    </row>
    <row r="2" spans="1:35" ht="15.5">
      <c r="A2" s="818"/>
    </row>
    <row r="3" spans="1:35" ht="20.25" customHeight="1">
      <c r="A3" s="3534"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293"/>
      <c r="AI3" s="824" t="s">
        <v>227</v>
      </c>
    </row>
    <row r="4" spans="1:35" ht="20.25" customHeight="1">
      <c r="A4" s="1527" t="s">
        <v>226</v>
      </c>
      <c r="B4" s="31"/>
      <c r="C4" s="31"/>
      <c r="D4" s="31"/>
      <c r="E4" s="31"/>
      <c r="F4" s="31"/>
      <c r="G4" s="31"/>
      <c r="H4" s="29" t="s">
        <v>14</v>
      </c>
      <c r="I4" s="31"/>
      <c r="J4" s="31"/>
      <c r="K4" s="29"/>
      <c r="L4" s="29"/>
      <c r="M4" s="31"/>
      <c r="N4" s="31"/>
      <c r="O4" s="31"/>
      <c r="P4" s="31"/>
      <c r="Q4" s="31"/>
      <c r="R4" s="31"/>
      <c r="S4" s="31"/>
      <c r="T4" s="31"/>
      <c r="U4" s="31"/>
      <c r="V4" s="31"/>
      <c r="W4" s="31"/>
      <c r="X4" s="107" t="s">
        <v>14</v>
      </c>
      <c r="Y4" s="107"/>
      <c r="Z4" s="107"/>
      <c r="AA4" s="107"/>
      <c r="AB4" s="107"/>
      <c r="AC4" s="107"/>
      <c r="AD4" s="107"/>
      <c r="AE4" s="107"/>
      <c r="AF4" s="107"/>
      <c r="AG4" s="3293"/>
    </row>
    <row r="5" spans="1:35" ht="20.25" customHeight="1">
      <c r="A5" s="1527" t="s">
        <v>122</v>
      </c>
      <c r="B5" s="31"/>
      <c r="C5" s="31"/>
      <c r="D5" s="31"/>
      <c r="E5" s="31"/>
      <c r="F5" s="31"/>
      <c r="G5" s="31"/>
      <c r="H5" s="31"/>
      <c r="I5" s="31"/>
      <c r="J5" s="31"/>
      <c r="K5" s="29"/>
      <c r="L5" s="29"/>
      <c r="M5" s="31"/>
      <c r="N5" s="31"/>
      <c r="O5" s="31"/>
      <c r="P5" s="31"/>
      <c r="Q5" s="31"/>
      <c r="R5" s="31"/>
      <c r="S5" s="31"/>
      <c r="T5" s="31"/>
      <c r="U5" s="31"/>
      <c r="V5" s="31"/>
      <c r="W5" s="31"/>
      <c r="X5" s="107"/>
      <c r="Y5" s="107"/>
      <c r="Z5" s="107"/>
      <c r="AB5" s="3260"/>
      <c r="AC5" s="3260"/>
      <c r="AE5" s="3215"/>
      <c r="AG5" s="3293"/>
    </row>
    <row r="6" spans="1:35" ht="20.25" customHeight="1">
      <c r="A6" s="1527" t="str">
        <f>'Cashflow Governmental'!A6</f>
        <v xml:space="preserve">FISCAL YEAR 2021-2022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293"/>
    </row>
    <row r="7" spans="1:35" ht="20.25" customHeight="1">
      <c r="A7" s="3534" t="s">
        <v>1280</v>
      </c>
      <c r="B7" s="31"/>
      <c r="C7" s="31"/>
      <c r="D7" s="31"/>
      <c r="E7" s="31"/>
      <c r="F7" s="31"/>
      <c r="G7" s="31"/>
      <c r="H7" s="31"/>
      <c r="I7" s="31"/>
      <c r="J7" s="31"/>
      <c r="K7" s="29"/>
      <c r="L7" s="31"/>
      <c r="M7" s="31"/>
      <c r="N7" s="31"/>
      <c r="O7" s="31"/>
      <c r="P7" s="31"/>
      <c r="Q7" s="31"/>
      <c r="R7" s="31"/>
      <c r="S7" s="31"/>
      <c r="T7" s="31"/>
      <c r="U7" s="31"/>
      <c r="V7" s="31"/>
      <c r="W7" s="31"/>
      <c r="X7" s="107"/>
      <c r="Y7" s="107"/>
      <c r="Z7" s="107"/>
      <c r="AA7" s="3214"/>
      <c r="AB7" s="3214"/>
      <c r="AC7" s="3214"/>
      <c r="AD7" s="3214"/>
      <c r="AE7" s="3214"/>
      <c r="AF7" s="3214"/>
      <c r="AG7" s="1654"/>
      <c r="AH7" s="1127"/>
      <c r="AI7" s="1126"/>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14"/>
      <c r="AB8" s="3214"/>
      <c r="AC8" s="3214"/>
      <c r="AD8" s="3214"/>
      <c r="AE8" s="3214"/>
      <c r="AF8" s="3214"/>
      <c r="AG8" s="1654"/>
      <c r="AH8" s="1127"/>
      <c r="AI8" s="1126"/>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14"/>
      <c r="AB9" s="3214"/>
      <c r="AC9" s="3951"/>
      <c r="AD9" s="3952"/>
      <c r="AE9" s="3952"/>
      <c r="AF9" s="3952"/>
      <c r="AG9" s="3952"/>
      <c r="AH9" s="3952"/>
      <c r="AI9" s="3952"/>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07"/>
      <c r="W10" s="825"/>
      <c r="X10" s="3272"/>
      <c r="Y10" s="3270"/>
      <c r="Z10" s="1656"/>
      <c r="AA10" s="3950" t="s">
        <v>1422</v>
      </c>
      <c r="AB10" s="3953"/>
      <c r="AC10" s="3953"/>
      <c r="AD10" s="3953"/>
      <c r="AE10" s="3953"/>
      <c r="AF10" s="3953"/>
      <c r="AG10" s="3953"/>
      <c r="AH10" s="3953"/>
      <c r="AI10" s="3953"/>
    </row>
    <row r="11" spans="1:35" s="391" customFormat="1" ht="19.399999999999999" customHeight="1">
      <c r="A11" s="149"/>
      <c r="B11" s="763" t="str">
        <f>'Cashflow Governmental'!C13</f>
        <v>2021</v>
      </c>
      <c r="C11" s="249"/>
      <c r="D11" s="249"/>
      <c r="E11" s="249"/>
      <c r="F11" s="249"/>
      <c r="G11" s="249"/>
      <c r="H11" s="249"/>
      <c r="I11" s="249"/>
      <c r="J11" s="249"/>
      <c r="K11" s="249"/>
      <c r="L11" s="249"/>
      <c r="M11" s="249"/>
      <c r="N11" s="249"/>
      <c r="O11" s="249"/>
      <c r="P11" s="249"/>
      <c r="Q11" s="249"/>
      <c r="R11" s="249"/>
      <c r="S11" s="249"/>
      <c r="T11" s="763">
        <f>'Cashflow Governmental'!U13</f>
        <v>2022</v>
      </c>
      <c r="U11" s="249"/>
      <c r="V11" s="765"/>
      <c r="W11" s="249"/>
      <c r="X11" s="1645"/>
      <c r="Y11" s="1645"/>
      <c r="Z11" s="3240"/>
      <c r="AA11" s="3219"/>
      <c r="AB11" s="3219"/>
      <c r="AC11" s="3219"/>
      <c r="AD11" s="3294"/>
      <c r="AE11" s="3294"/>
      <c r="AF11" s="3219"/>
      <c r="AG11" s="3222" t="s">
        <v>7</v>
      </c>
      <c r="AH11" s="1130"/>
      <c r="AI11" s="1131" t="s">
        <v>8</v>
      </c>
    </row>
    <row r="12" spans="1:35" s="391" customFormat="1" ht="19.399999999999999" customHeight="1">
      <c r="A12" s="149"/>
      <c r="B12" s="765" t="s">
        <v>123</v>
      </c>
      <c r="C12" s="249"/>
      <c r="D12" s="828" t="s">
        <v>124</v>
      </c>
      <c r="E12" s="249"/>
      <c r="F12" s="828" t="s">
        <v>125</v>
      </c>
      <c r="G12" s="249"/>
      <c r="H12" s="828" t="s">
        <v>126</v>
      </c>
      <c r="I12" s="249"/>
      <c r="J12" s="829" t="s">
        <v>224</v>
      </c>
      <c r="K12" s="249"/>
      <c r="L12" s="829" t="s">
        <v>142</v>
      </c>
      <c r="M12" s="249"/>
      <c r="N12" s="829" t="s">
        <v>143</v>
      </c>
      <c r="O12" s="249"/>
      <c r="P12" s="828" t="s">
        <v>130</v>
      </c>
      <c r="Q12" s="249"/>
      <c r="R12" s="828" t="s">
        <v>131</v>
      </c>
      <c r="S12" s="249"/>
      <c r="T12" s="829" t="s">
        <v>132</v>
      </c>
      <c r="U12" s="249"/>
      <c r="V12" s="828" t="s">
        <v>133</v>
      </c>
      <c r="W12" s="249"/>
      <c r="X12" s="3273" t="s">
        <v>184</v>
      </c>
      <c r="Y12" s="1645"/>
      <c r="Z12" s="1645"/>
      <c r="AA12" s="3274">
        <f>'Cashflow Governmental'!AB14</f>
        <v>2021</v>
      </c>
      <c r="AB12" s="3274"/>
      <c r="AC12" s="3258"/>
      <c r="AD12" s="3443">
        <f>'Cashflow Governmental'!AE14</f>
        <v>2020</v>
      </c>
      <c r="AE12" s="3258"/>
      <c r="AF12" s="3258"/>
      <c r="AG12" s="3225" t="s">
        <v>11</v>
      </c>
      <c r="AH12" s="1133"/>
      <c r="AI12" s="1132" t="s">
        <v>12</v>
      </c>
    </row>
    <row r="13" spans="1:35" s="1656" customFormat="1" ht="19.399999999999999" customHeight="1">
      <c r="A13" s="1645" t="s">
        <v>135</v>
      </c>
      <c r="B13" s="1646">
        <v>40.200000000000003</v>
      </c>
      <c r="C13" s="1647"/>
      <c r="D13" s="1646"/>
      <c r="E13" s="1647"/>
      <c r="F13" s="1646"/>
      <c r="G13" s="1647"/>
      <c r="H13" s="1646"/>
      <c r="I13" s="1648"/>
      <c r="J13" s="1646"/>
      <c r="K13" s="1647"/>
      <c r="L13" s="1646"/>
      <c r="M13" s="1648"/>
      <c r="N13" s="1646"/>
      <c r="O13" s="1648"/>
      <c r="P13" s="1646"/>
      <c r="Q13" s="1648"/>
      <c r="R13" s="1646"/>
      <c r="S13" s="1648"/>
      <c r="T13" s="1646"/>
      <c r="U13" s="1648"/>
      <c r="V13" s="1646"/>
      <c r="W13" s="1648"/>
      <c r="X13" s="1646"/>
      <c r="Y13" s="1649"/>
      <c r="Z13" s="1650"/>
      <c r="AA13" s="3275">
        <f>+B13</f>
        <v>40.200000000000003</v>
      </c>
      <c r="AB13" s="3276"/>
      <c r="AC13" s="3277"/>
      <c r="AD13" s="1646">
        <v>14.299999999999997</v>
      </c>
      <c r="AE13" s="1651"/>
      <c r="AF13" s="1652"/>
      <c r="AG13" s="1653">
        <f>ROUND(SUM(AA13-AD13),1)</f>
        <v>25.9</v>
      </c>
      <c r="AH13" s="1654"/>
      <c r="AI13" s="1655">
        <f>ROUND(IF(AG13=0,0,AG13/(AD13)),3)</f>
        <v>1.8109999999999999</v>
      </c>
    </row>
    <row r="14" spans="1:35" s="391" customFormat="1" ht="19.399999999999999" customHeight="1">
      <c r="A14" s="149"/>
      <c r="B14" s="379"/>
      <c r="C14" s="379"/>
      <c r="D14" s="379"/>
      <c r="E14" s="379"/>
      <c r="F14" s="3223"/>
      <c r="G14" s="379"/>
      <c r="H14" s="836"/>
      <c r="I14" s="836"/>
      <c r="J14" s="836"/>
      <c r="K14" s="379"/>
      <c r="L14" s="836"/>
      <c r="M14" s="836"/>
      <c r="N14" s="836"/>
      <c r="O14" s="836"/>
      <c r="P14" s="836"/>
      <c r="Q14" s="836"/>
      <c r="R14" s="836"/>
      <c r="S14" s="836"/>
      <c r="T14" s="836"/>
      <c r="U14" s="836"/>
      <c r="V14" s="836"/>
      <c r="W14" s="836"/>
      <c r="X14" s="3263"/>
      <c r="Y14" s="3262"/>
      <c r="Z14" s="3278"/>
      <c r="AA14" s="3279"/>
      <c r="AB14" s="3280"/>
      <c r="AC14" s="3281"/>
      <c r="AD14" s="3279"/>
      <c r="AE14" s="3279"/>
      <c r="AF14" s="3259"/>
      <c r="AG14" s="3228"/>
      <c r="AH14" s="1127"/>
      <c r="AI14" s="1126"/>
    </row>
    <row r="15" spans="1:35" s="391" customFormat="1" ht="19.399999999999999" customHeight="1">
      <c r="A15" s="249" t="s">
        <v>13</v>
      </c>
      <c r="B15" s="379"/>
      <c r="C15" s="379"/>
      <c r="D15" s="379"/>
      <c r="E15" s="379"/>
      <c r="F15" s="3223"/>
      <c r="G15" s="379"/>
      <c r="H15" s="836"/>
      <c r="I15" s="836"/>
      <c r="J15" s="836"/>
      <c r="K15" s="379"/>
      <c r="L15" s="836"/>
      <c r="M15" s="836"/>
      <c r="N15" s="836"/>
      <c r="O15" s="836"/>
      <c r="P15" s="836"/>
      <c r="Q15" s="836"/>
      <c r="R15" s="836"/>
      <c r="S15" s="836"/>
      <c r="T15" s="836"/>
      <c r="U15" s="836"/>
      <c r="V15" s="836"/>
      <c r="W15" s="836"/>
      <c r="X15" s="3263"/>
      <c r="Y15" s="3262"/>
      <c r="Z15" s="3278"/>
      <c r="AA15" s="3279"/>
      <c r="AB15" s="3280"/>
      <c r="AC15" s="3281"/>
      <c r="AD15" s="3279"/>
      <c r="AE15" s="3279"/>
      <c r="AF15" s="3259"/>
      <c r="AG15" s="3228"/>
      <c r="AH15" s="1127"/>
      <c r="AI15" s="1126"/>
    </row>
    <row r="16" spans="1:35" s="1656" customFormat="1" ht="19.399999999999999" customHeight="1">
      <c r="A16" s="1657" t="s">
        <v>177</v>
      </c>
      <c r="B16" s="1838">
        <f>$AA16</f>
        <v>0.1</v>
      </c>
      <c r="C16" s="237"/>
      <c r="D16" s="1838"/>
      <c r="E16" s="237"/>
      <c r="F16" s="1658"/>
      <c r="G16" s="1680"/>
      <c r="H16" s="1658"/>
      <c r="I16" s="1659"/>
      <c r="J16" s="1658"/>
      <c r="K16" s="1572"/>
      <c r="L16" s="1658"/>
      <c r="M16" s="1660"/>
      <c r="N16" s="1658"/>
      <c r="O16" s="1660"/>
      <c r="P16" s="1658"/>
      <c r="Q16" s="1660"/>
      <c r="R16" s="1658"/>
      <c r="S16" s="1660"/>
      <c r="T16" s="1658"/>
      <c r="U16" s="1660"/>
      <c r="V16" s="1658"/>
      <c r="W16" s="1660"/>
      <c r="X16" s="1658"/>
      <c r="Y16" s="1661"/>
      <c r="Z16" s="1662"/>
      <c r="AA16" s="1658">
        <v>0.1</v>
      </c>
      <c r="AB16" s="3708"/>
      <c r="AC16" s="3709"/>
      <c r="AD16" s="1658">
        <v>0.20000000000000007</v>
      </c>
      <c r="AE16" s="1663"/>
      <c r="AF16" s="1664"/>
      <c r="AG16" s="1665">
        <f>ROUND(SUM(AA16-AD16),1)</f>
        <v>-0.1</v>
      </c>
      <c r="AH16" s="1654"/>
      <c r="AI16" s="1922">
        <f>ROUND(IF(AD16=0,-1,AG16/ABS(AD16)),3)</f>
        <v>-0.5</v>
      </c>
    </row>
    <row r="17" spans="1:35" s="391" customFormat="1" ht="24" customHeight="1">
      <c r="A17" s="249" t="s">
        <v>149</v>
      </c>
      <c r="B17" s="849">
        <f>ROUND(SUM(B16),1)</f>
        <v>0.1</v>
      </c>
      <c r="C17" s="382"/>
      <c r="D17" s="849">
        <f>ROUND(SUM(D16),1)</f>
        <v>0</v>
      </c>
      <c r="E17" s="382"/>
      <c r="F17" s="1692">
        <f>ROUND(SUM(F16),1)</f>
        <v>0</v>
      </c>
      <c r="G17" s="382"/>
      <c r="H17" s="849">
        <f>ROUND(SUM(H16),1)</f>
        <v>0</v>
      </c>
      <c r="I17" s="843"/>
      <c r="J17" s="3028">
        <f>ROUND(SUM(J16),1)</f>
        <v>0</v>
      </c>
      <c r="K17" s="382"/>
      <c r="L17" s="849">
        <f>ROUND(SUM(L16),1)</f>
        <v>0</v>
      </c>
      <c r="M17" s="844"/>
      <c r="N17" s="849">
        <f>ROUND(SUM(N16),1)</f>
        <v>0</v>
      </c>
      <c r="O17" s="844"/>
      <c r="P17" s="849">
        <f>ROUND(SUM(P16),1)</f>
        <v>0</v>
      </c>
      <c r="Q17" s="844"/>
      <c r="R17" s="2103">
        <f>ROUND(SUM(R16),1)</f>
        <v>0</v>
      </c>
      <c r="S17" s="844"/>
      <c r="T17" s="849">
        <f>ROUND(SUM(T16),1)</f>
        <v>0</v>
      </c>
      <c r="U17" s="844"/>
      <c r="V17" s="2109">
        <f>ROUND(SUM(V16),1)</f>
        <v>0</v>
      </c>
      <c r="W17" s="844"/>
      <c r="X17" s="3282">
        <f>ROUND(SUM(X16),1)</f>
        <v>0</v>
      </c>
      <c r="Y17" s="3264"/>
      <c r="Z17" s="3265"/>
      <c r="AA17" s="3283">
        <f>ROUND(SUM(AA16),1)</f>
        <v>0.1</v>
      </c>
      <c r="AB17" s="3710"/>
      <c r="AC17" s="3711"/>
      <c r="AD17" s="1692">
        <f>ROUND(SUM(AD16),1)</f>
        <v>0.2</v>
      </c>
      <c r="AE17" s="3283"/>
      <c r="AF17" s="1664"/>
      <c r="AG17" s="3295">
        <f>ROUND(SUM(AG16),1)</f>
        <v>-0.1</v>
      </c>
      <c r="AH17" s="1160"/>
      <c r="AI17" s="1923">
        <f>ROUND(IF(AD17=0,-1,AG17/ABS(AD17)),3)</f>
        <v>-0.5</v>
      </c>
    </row>
    <row r="18" spans="1:35" s="391" customFormat="1" ht="19.399999999999999" customHeight="1">
      <c r="A18" s="149"/>
      <c r="B18" s="381"/>
      <c r="C18" s="237"/>
      <c r="D18" s="381" t="s">
        <v>14</v>
      </c>
      <c r="E18" s="237"/>
      <c r="F18" s="2192"/>
      <c r="G18" s="237"/>
      <c r="H18" s="847"/>
      <c r="I18" s="839"/>
      <c r="J18" s="847"/>
      <c r="K18" s="237"/>
      <c r="L18" s="847"/>
      <c r="M18" s="839"/>
      <c r="N18" s="847"/>
      <c r="O18" s="839"/>
      <c r="P18" s="847"/>
      <c r="Q18" s="839"/>
      <c r="R18" s="847"/>
      <c r="S18" s="839"/>
      <c r="T18" s="847"/>
      <c r="U18" s="839"/>
      <c r="V18" s="847"/>
      <c r="W18" s="839"/>
      <c r="X18" s="3284"/>
      <c r="Y18" s="1661"/>
      <c r="Z18" s="1662"/>
      <c r="AA18" s="3712"/>
      <c r="AB18" s="3708"/>
      <c r="AC18" s="3713"/>
      <c r="AD18" s="3284"/>
      <c r="AE18" s="1681"/>
      <c r="AF18" s="1664"/>
      <c r="AG18" s="1681"/>
      <c r="AH18" s="1127"/>
      <c r="AI18" s="1126"/>
    </row>
    <row r="19" spans="1:35" s="391" customFormat="1" ht="19.399999999999999" customHeight="1">
      <c r="A19" s="149"/>
      <c r="B19" s="237"/>
      <c r="C19" s="237"/>
      <c r="D19" s="237" t="s">
        <v>14</v>
      </c>
      <c r="E19" s="237"/>
      <c r="F19" s="1572"/>
      <c r="G19" s="237"/>
      <c r="H19" s="839"/>
      <c r="I19" s="839"/>
      <c r="J19" s="839"/>
      <c r="K19" s="237"/>
      <c r="L19" s="839"/>
      <c r="M19" s="839"/>
      <c r="N19" s="839"/>
      <c r="O19" s="839"/>
      <c r="P19" s="839"/>
      <c r="Q19" s="839"/>
      <c r="R19" s="839"/>
      <c r="S19" s="839"/>
      <c r="T19" s="839"/>
      <c r="U19" s="839"/>
      <c r="V19" s="839"/>
      <c r="W19" s="839"/>
      <c r="X19" s="1660"/>
      <c r="Y19" s="1661"/>
      <c r="Z19" s="1662"/>
      <c r="AA19" s="3285"/>
      <c r="AB19" s="3708"/>
      <c r="AC19" s="3709"/>
      <c r="AD19" s="1660"/>
      <c r="AE19" s="3285"/>
      <c r="AF19" s="1664"/>
      <c r="AG19" s="1681"/>
      <c r="AH19" s="1127"/>
      <c r="AI19" s="1126"/>
    </row>
    <row r="20" spans="1:35" s="391" customFormat="1" ht="19.399999999999999" customHeight="1">
      <c r="A20" s="249" t="s">
        <v>22</v>
      </c>
      <c r="B20" s="237"/>
      <c r="C20" s="237"/>
      <c r="D20" s="237" t="s">
        <v>14</v>
      </c>
      <c r="E20" s="237"/>
      <c r="F20" s="1572"/>
      <c r="G20" s="237"/>
      <c r="H20" s="839"/>
      <c r="I20" s="839"/>
      <c r="J20" s="839"/>
      <c r="K20" s="237"/>
      <c r="L20" s="839"/>
      <c r="M20" s="839"/>
      <c r="N20" s="839"/>
      <c r="O20" s="839"/>
      <c r="P20" s="839"/>
      <c r="Q20" s="839"/>
      <c r="R20" s="839"/>
      <c r="S20" s="839"/>
      <c r="T20" s="839"/>
      <c r="U20" s="839"/>
      <c r="V20" s="839"/>
      <c r="W20" s="839"/>
      <c r="X20" s="1660"/>
      <c r="Y20" s="1661"/>
      <c r="Z20" s="1662"/>
      <c r="AA20" s="3285"/>
      <c r="AB20" s="3708"/>
      <c r="AC20" s="3709"/>
      <c r="AD20" s="1660"/>
      <c r="AE20" s="3285"/>
      <c r="AF20" s="1664"/>
      <c r="AG20" s="1681"/>
      <c r="AH20" s="1127"/>
      <c r="AI20" s="1126"/>
    </row>
    <row r="21" spans="1:35" s="391" customFormat="1" ht="19.399999999999999" customHeight="1">
      <c r="A21" s="149" t="s">
        <v>151</v>
      </c>
      <c r="B21" s="238"/>
      <c r="C21" s="237"/>
      <c r="D21" s="237"/>
      <c r="E21" s="237"/>
      <c r="F21" s="1572"/>
      <c r="G21" s="237"/>
      <c r="H21" s="839"/>
      <c r="I21" s="839"/>
      <c r="J21" s="839"/>
      <c r="K21" s="237"/>
      <c r="L21" s="839"/>
      <c r="M21" s="839"/>
      <c r="N21" s="839"/>
      <c r="O21" s="839"/>
      <c r="P21" s="839"/>
      <c r="Q21" s="839"/>
      <c r="R21" s="839"/>
      <c r="S21" s="839"/>
      <c r="T21" s="839"/>
      <c r="U21" s="839"/>
      <c r="V21" s="839"/>
      <c r="W21" s="839"/>
      <c r="X21" s="1660"/>
      <c r="Y21" s="1661"/>
      <c r="Z21" s="1662"/>
      <c r="AA21" s="1672"/>
      <c r="AB21" s="3714"/>
      <c r="AC21" s="3715"/>
      <c r="AD21" s="1660"/>
      <c r="AE21" s="1672"/>
      <c r="AF21" s="1670"/>
      <c r="AG21" s="1681"/>
      <c r="AH21" s="1127"/>
      <c r="AI21" s="1126"/>
    </row>
    <row r="22" spans="1:35" s="1656" customFormat="1" ht="19.399999999999999" customHeight="1">
      <c r="A22" s="193" t="s">
        <v>217</v>
      </c>
      <c r="B22" s="848">
        <f>$AA22</f>
        <v>0</v>
      </c>
      <c r="C22" s="237"/>
      <c r="D22" s="848"/>
      <c r="E22" s="237"/>
      <c r="F22" s="1680"/>
      <c r="G22" s="237"/>
      <c r="H22" s="848"/>
      <c r="I22" s="1660"/>
      <c r="J22" s="1680"/>
      <c r="K22" s="1572"/>
      <c r="L22" s="848"/>
      <c r="M22" s="1660"/>
      <c r="N22" s="1680"/>
      <c r="O22" s="1660"/>
      <c r="P22" s="1680"/>
      <c r="Q22" s="1660"/>
      <c r="R22" s="1680"/>
      <c r="S22" s="1660"/>
      <c r="T22" s="1680"/>
      <c r="U22" s="1660"/>
      <c r="V22" s="1680"/>
      <c r="W22" s="1660"/>
      <c r="X22" s="1680"/>
      <c r="Y22" s="1661"/>
      <c r="Z22" s="1662"/>
      <c r="AA22" s="1667">
        <v>0</v>
      </c>
      <c r="AB22" s="3708"/>
      <c r="AC22" s="3709"/>
      <c r="AD22" s="1667">
        <v>0</v>
      </c>
      <c r="AE22" s="1669"/>
      <c r="AF22" s="1670"/>
      <c r="AG22" s="1665">
        <f>ROUND(SUM(AA22-AD22),1)</f>
        <v>0</v>
      </c>
      <c r="AH22" s="1654"/>
      <c r="AI22" s="1671">
        <f>ROUND(IF(AD22=0,0,AG22/ABS(AD22)),3)</f>
        <v>0</v>
      </c>
    </row>
    <row r="23" spans="1:35" s="1656" customFormat="1" ht="19.399999999999999" customHeight="1">
      <c r="A23" s="1657" t="s">
        <v>169</v>
      </c>
      <c r="B23" s="848">
        <f t="shared" ref="B23:B24" si="0">$AA23</f>
        <v>0</v>
      </c>
      <c r="C23" s="237"/>
      <c r="D23" s="848"/>
      <c r="E23" s="237"/>
      <c r="F23" s="1680"/>
      <c r="G23" s="237"/>
      <c r="H23" s="848"/>
      <c r="I23" s="1660"/>
      <c r="J23" s="1680"/>
      <c r="K23" s="1572"/>
      <c r="L23" s="848"/>
      <c r="M23" s="1660"/>
      <c r="N23" s="1680"/>
      <c r="O23" s="1667"/>
      <c r="P23" s="1680"/>
      <c r="Q23" s="1660"/>
      <c r="R23" s="1680"/>
      <c r="S23" s="1660"/>
      <c r="T23" s="1680"/>
      <c r="U23" s="1660"/>
      <c r="V23" s="1680"/>
      <c r="W23" s="1660"/>
      <c r="X23" s="1680"/>
      <c r="Y23" s="1661"/>
      <c r="Z23" s="1662"/>
      <c r="AA23" s="1667">
        <v>0</v>
      </c>
      <c r="AB23" s="3708"/>
      <c r="AC23" s="3709"/>
      <c r="AD23" s="1667">
        <v>0</v>
      </c>
      <c r="AE23" s="1672"/>
      <c r="AF23" s="1670"/>
      <c r="AG23" s="1665">
        <f>ROUND(SUM(AA23-AD23),1)</f>
        <v>0</v>
      </c>
      <c r="AH23" s="1673"/>
      <c r="AI23" s="1666">
        <f>ROUND(IF(AG23=0,0,AG23/ABS(AD23)),3)</f>
        <v>0</v>
      </c>
    </row>
    <row r="24" spans="1:35" s="1656" customFormat="1" ht="19.399999999999999" customHeight="1">
      <c r="A24" s="193" t="s">
        <v>154</v>
      </c>
      <c r="B24" s="848">
        <f t="shared" si="0"/>
        <v>0</v>
      </c>
      <c r="C24" s="237"/>
      <c r="D24" s="848"/>
      <c r="E24" s="237"/>
      <c r="F24" s="1680"/>
      <c r="G24" s="237"/>
      <c r="H24" s="1838"/>
      <c r="I24" s="1660"/>
      <c r="J24" s="1658"/>
      <c r="K24" s="1572"/>
      <c r="L24" s="1838"/>
      <c r="M24" s="1660"/>
      <c r="N24" s="1680"/>
      <c r="O24" s="1660"/>
      <c r="P24" s="1658"/>
      <c r="Q24" s="1660"/>
      <c r="R24" s="1680"/>
      <c r="S24" s="1660"/>
      <c r="T24" s="1680"/>
      <c r="U24" s="1660"/>
      <c r="V24" s="1680"/>
      <c r="W24" s="1660"/>
      <c r="X24" s="1680"/>
      <c r="Y24" s="1661"/>
      <c r="Z24" s="1662"/>
      <c r="AA24" s="3716">
        <v>0</v>
      </c>
      <c r="AB24" s="3708"/>
      <c r="AC24" s="3709"/>
      <c r="AD24" s="3716">
        <v>0.1</v>
      </c>
      <c r="AE24" s="1668"/>
      <c r="AF24" s="1670"/>
      <c r="AG24" s="1665">
        <f>ROUND(SUM(AA24-AD24),1)</f>
        <v>-0.1</v>
      </c>
      <c r="AH24" s="1654"/>
      <c r="AI24" s="1666">
        <f>ROUND(IF(AG24=0,0,AG24/ABS(AD24)),3)</f>
        <v>-1</v>
      </c>
    </row>
    <row r="25" spans="1:35" s="391" customFormat="1" ht="22.5" customHeight="1">
      <c r="A25" s="249" t="s">
        <v>155</v>
      </c>
      <c r="B25" s="2110">
        <f>ROUND(SUM(B22:B24),1)</f>
        <v>0</v>
      </c>
      <c r="C25" s="382"/>
      <c r="D25" s="2127">
        <f>ROUND(SUM(D22:D24),1)</f>
        <v>0</v>
      </c>
      <c r="E25" s="382"/>
      <c r="F25" s="3707">
        <f>ROUND(SUM(F22:F24),1)</f>
        <v>0</v>
      </c>
      <c r="G25" s="382"/>
      <c r="H25" s="861">
        <f>ROUND(SUM(H22:H24),1)</f>
        <v>0</v>
      </c>
      <c r="I25" s="844"/>
      <c r="J25" s="2110">
        <f>ROUND(SUM(J22:J24),1)</f>
        <v>0</v>
      </c>
      <c r="K25" s="382"/>
      <c r="L25" s="2110">
        <f>ROUND(SUM(L22:L24),1)</f>
        <v>0</v>
      </c>
      <c r="M25" s="844"/>
      <c r="N25" s="1967">
        <f>ROUND(SUM(N22:N24),1)</f>
        <v>0</v>
      </c>
      <c r="O25" s="853"/>
      <c r="P25" s="861">
        <f>ROUND(SUM(P22:P24),1)</f>
        <v>0</v>
      </c>
      <c r="Q25" s="844"/>
      <c r="R25" s="2110">
        <f>ROUND(SUM(R22:R24),1)</f>
        <v>0</v>
      </c>
      <c r="S25" s="844"/>
      <c r="T25" s="2127">
        <f>ROUND(SUM(T22:T24),1)</f>
        <v>0</v>
      </c>
      <c r="U25" s="853"/>
      <c r="V25" s="2110">
        <f>ROUND(SUM(V22:V24),1)</f>
        <v>0</v>
      </c>
      <c r="W25" s="853"/>
      <c r="X25" s="3286">
        <f>ROUND(SUM(X22:X24),1)</f>
        <v>0</v>
      </c>
      <c r="Y25" s="3264"/>
      <c r="Z25" s="3265"/>
      <c r="AA25" s="3287">
        <f>ROUND(SUM(AA22:AA24),1)</f>
        <v>0</v>
      </c>
      <c r="AB25" s="3710"/>
      <c r="AC25" s="3711"/>
      <c r="AD25" s="2191">
        <f>ROUND(SUM(AD22:AD24),1)</f>
        <v>0.1</v>
      </c>
      <c r="AE25" s="3287"/>
      <c r="AF25" s="1670"/>
      <c r="AG25" s="3295">
        <f>ROUND(SUM(AG22:AG24),1)</f>
        <v>-0.1</v>
      </c>
      <c r="AH25" s="1138"/>
      <c r="AI25" s="1161">
        <f>ROUND(IF(AD25=0,0,AG25/ABS(AD25)),3)</f>
        <v>-1</v>
      </c>
    </row>
    <row r="26" spans="1:35" s="391" customFormat="1" ht="19.399999999999999" customHeight="1">
      <c r="A26" s="149"/>
      <c r="B26" s="381"/>
      <c r="C26" s="237"/>
      <c r="D26" s="381" t="s">
        <v>14</v>
      </c>
      <c r="E26" s="237"/>
      <c r="F26" s="2192"/>
      <c r="G26" s="237"/>
      <c r="H26" s="847"/>
      <c r="I26" s="839"/>
      <c r="J26" s="847"/>
      <c r="K26" s="237"/>
      <c r="L26" s="847"/>
      <c r="M26" s="839"/>
      <c r="N26" s="847"/>
      <c r="O26" s="839"/>
      <c r="P26" s="847"/>
      <c r="Q26" s="839"/>
      <c r="R26" s="847"/>
      <c r="S26" s="839"/>
      <c r="T26" s="847"/>
      <c r="U26" s="839"/>
      <c r="V26" s="847"/>
      <c r="W26" s="839"/>
      <c r="X26" s="3284"/>
      <c r="Y26" s="1661"/>
      <c r="Z26" s="1662"/>
      <c r="AA26" s="3712"/>
      <c r="AB26" s="3708"/>
      <c r="AC26" s="3713"/>
      <c r="AD26" s="3284"/>
      <c r="AE26" s="1681"/>
      <c r="AF26" s="1664"/>
      <c r="AG26" s="1681"/>
      <c r="AH26" s="1127"/>
      <c r="AI26" s="1126"/>
    </row>
    <row r="27" spans="1:35" s="391" customFormat="1" ht="19.399999999999999" customHeight="1">
      <c r="A27" s="249" t="s">
        <v>156</v>
      </c>
      <c r="B27" s="237"/>
      <c r="C27" s="237"/>
      <c r="D27" s="241" t="s">
        <v>14</v>
      </c>
      <c r="E27" s="237"/>
      <c r="F27" s="1572"/>
      <c r="G27" s="237"/>
      <c r="H27" s="839"/>
      <c r="I27" s="839"/>
      <c r="J27" s="839"/>
      <c r="K27" s="237"/>
      <c r="L27" s="839"/>
      <c r="M27" s="839"/>
      <c r="N27" s="839"/>
      <c r="O27" s="839"/>
      <c r="P27" s="839"/>
      <c r="Q27" s="839"/>
      <c r="R27" s="839"/>
      <c r="S27" s="839"/>
      <c r="T27" s="839"/>
      <c r="U27" s="839"/>
      <c r="V27" s="839"/>
      <c r="W27" s="839"/>
      <c r="X27" s="1660"/>
      <c r="Y27" s="1661"/>
      <c r="Z27" s="1662"/>
      <c r="AA27" s="3285"/>
      <c r="AB27" s="3708"/>
      <c r="AC27" s="3709"/>
      <c r="AD27" s="1660"/>
      <c r="AE27" s="3285"/>
      <c r="AF27" s="1664"/>
      <c r="AG27" s="1681"/>
      <c r="AH27" s="1127"/>
      <c r="AI27" s="1127"/>
    </row>
    <row r="28" spans="1:35" s="391" customFormat="1" ht="18.75" customHeight="1">
      <c r="A28" s="249" t="s">
        <v>44</v>
      </c>
      <c r="B28" s="851">
        <f>ROUND(B17-B25,1)</f>
        <v>0.1</v>
      </c>
      <c r="C28" s="382"/>
      <c r="D28" s="851">
        <f>ROUND(D17-D25,1)</f>
        <v>0</v>
      </c>
      <c r="E28" s="862"/>
      <c r="F28" s="3266">
        <f>ROUND(F17-F25,1)</f>
        <v>0</v>
      </c>
      <c r="G28" s="862"/>
      <c r="H28" s="851">
        <f>ROUND(H17-H25,1)</f>
        <v>0</v>
      </c>
      <c r="I28" s="863"/>
      <c r="J28" s="851">
        <f>ROUND(J17-J25,1)</f>
        <v>0</v>
      </c>
      <c r="K28" s="862"/>
      <c r="L28" s="851">
        <f>ROUND(L17-L25,1)</f>
        <v>0</v>
      </c>
      <c r="M28" s="864"/>
      <c r="N28" s="851">
        <f>ROUND(N17-N25,1)</f>
        <v>0</v>
      </c>
      <c r="O28" s="864"/>
      <c r="P28" s="851">
        <f>ROUND(P17-P25,1)</f>
        <v>0</v>
      </c>
      <c r="Q28" s="864"/>
      <c r="R28" s="851">
        <f>ROUND(R17-R25,1)</f>
        <v>0</v>
      </c>
      <c r="S28" s="864"/>
      <c r="T28" s="851">
        <f>ROUND(T17-T25,1)</f>
        <v>0</v>
      </c>
      <c r="U28" s="864"/>
      <c r="V28" s="851">
        <f>ROUND(V17-V25,1)</f>
        <v>0</v>
      </c>
      <c r="W28" s="864"/>
      <c r="X28" s="3266">
        <f>ROUND(X17-X25,1)</f>
        <v>0</v>
      </c>
      <c r="Y28" s="3264"/>
      <c r="Z28" s="3265"/>
      <c r="AA28" s="3717">
        <f>ROUND(AA17-AA25,1)</f>
        <v>0.1</v>
      </c>
      <c r="AB28" s="3710"/>
      <c r="AC28" s="3718"/>
      <c r="AD28" s="3266">
        <f>ROUND(AD17-AD25,1)</f>
        <v>0.1</v>
      </c>
      <c r="AE28" s="3288"/>
      <c r="AF28" s="1670"/>
      <c r="AG28" s="3232">
        <f>ROUND(SUM(AG17-AG25),1)</f>
        <v>0</v>
      </c>
      <c r="AH28" s="1138"/>
      <c r="AI28" s="2114">
        <f>ROUND(IF(AD28=0,-1,AG28/ABS(AD28)),3)</f>
        <v>0</v>
      </c>
    </row>
    <row r="29" spans="1:35" s="391" customFormat="1" ht="19.399999999999999" customHeight="1">
      <c r="A29" s="149"/>
      <c r="B29" s="241"/>
      <c r="C29" s="237"/>
      <c r="D29" s="241" t="s">
        <v>14</v>
      </c>
      <c r="E29" s="237"/>
      <c r="F29" s="1665"/>
      <c r="G29" s="237"/>
      <c r="H29" s="838"/>
      <c r="I29" s="839"/>
      <c r="J29" s="838"/>
      <c r="K29" s="237"/>
      <c r="L29" s="838"/>
      <c r="M29" s="839"/>
      <c r="N29" s="847"/>
      <c r="O29" s="839"/>
      <c r="P29" s="838"/>
      <c r="Q29" s="839"/>
      <c r="R29" s="838"/>
      <c r="S29" s="839"/>
      <c r="T29" s="838"/>
      <c r="U29" s="839"/>
      <c r="V29" s="838"/>
      <c r="W29" s="839"/>
      <c r="X29" s="3284"/>
      <c r="Y29" s="1661"/>
      <c r="Z29" s="1662"/>
      <c r="AA29" s="1681"/>
      <c r="AB29" s="3708"/>
      <c r="AC29" s="3713"/>
      <c r="AD29" s="1659"/>
      <c r="AE29" s="1681"/>
      <c r="AF29" s="1675"/>
      <c r="AG29" s="1681"/>
      <c r="AH29" s="1127"/>
      <c r="AI29" s="1126"/>
    </row>
    <row r="30" spans="1:35" s="391" customFormat="1" ht="19.399999999999999" customHeight="1">
      <c r="A30" s="249" t="s">
        <v>45</v>
      </c>
      <c r="B30" s="237"/>
      <c r="C30" s="237"/>
      <c r="D30" s="237"/>
      <c r="E30" s="237"/>
      <c r="F30" s="1572"/>
      <c r="G30" s="237"/>
      <c r="H30" s="839"/>
      <c r="I30" s="839"/>
      <c r="J30" s="839"/>
      <c r="K30" s="237"/>
      <c r="L30" s="839"/>
      <c r="M30" s="839"/>
      <c r="N30" s="839"/>
      <c r="O30" s="839"/>
      <c r="P30" s="839"/>
      <c r="Q30" s="839"/>
      <c r="R30" s="839"/>
      <c r="S30" s="839"/>
      <c r="T30" s="839"/>
      <c r="U30" s="839"/>
      <c r="V30" s="839"/>
      <c r="W30" s="839"/>
      <c r="X30" s="1660"/>
      <c r="Y30" s="1661"/>
      <c r="Z30" s="1662"/>
      <c r="AA30" s="3285"/>
      <c r="AB30" s="3708"/>
      <c r="AC30" s="3709"/>
      <c r="AD30" s="1660"/>
      <c r="AE30" s="3285"/>
      <c r="AF30" s="1675"/>
      <c r="AG30" s="1681"/>
      <c r="AH30" s="1127"/>
      <c r="AI30" s="1126"/>
    </row>
    <row r="31" spans="1:35" s="1656" customFormat="1" ht="19.399999999999999" customHeight="1">
      <c r="A31" s="193" t="s">
        <v>180</v>
      </c>
      <c r="B31" s="848">
        <f t="shared" ref="B31:B32" si="1">$AA31</f>
        <v>0</v>
      </c>
      <c r="C31" s="237"/>
      <c r="D31" s="848"/>
      <c r="E31" s="237"/>
      <c r="F31" s="1680"/>
      <c r="G31" s="237"/>
      <c r="H31" s="848"/>
      <c r="I31" s="1660"/>
      <c r="J31" s="1680"/>
      <c r="K31" s="1572"/>
      <c r="L31" s="848"/>
      <c r="M31" s="1660"/>
      <c r="N31" s="1680"/>
      <c r="O31" s="1660"/>
      <c r="P31" s="1680"/>
      <c r="Q31" s="1660"/>
      <c r="R31" s="1680"/>
      <c r="S31" s="1660"/>
      <c r="T31" s="1680"/>
      <c r="U31" s="1660"/>
      <c r="V31" s="1680"/>
      <c r="W31" s="1660"/>
      <c r="X31" s="1680"/>
      <c r="Y31" s="1661"/>
      <c r="Z31" s="1662"/>
      <c r="AA31" s="1667">
        <v>0</v>
      </c>
      <c r="AB31" s="3708"/>
      <c r="AC31" s="3709"/>
      <c r="AD31" s="1667">
        <v>0</v>
      </c>
      <c r="AE31" s="1672"/>
      <c r="AF31" s="1674"/>
      <c r="AG31" s="1665">
        <f>ROUND(SUM(AA31-AD31),1)</f>
        <v>0</v>
      </c>
      <c r="AH31" s="1673"/>
      <c r="AI31" s="1666">
        <f>ROUND(IF(AG31=0,0,AG31/ABS(AD31)),3)</f>
        <v>0</v>
      </c>
    </row>
    <row r="32" spans="1:35" s="1656" customFormat="1" ht="19.399999999999999" customHeight="1">
      <c r="A32" s="193" t="s">
        <v>181</v>
      </c>
      <c r="B32" s="848">
        <f t="shared" si="1"/>
        <v>0</v>
      </c>
      <c r="C32" s="237"/>
      <c r="D32" s="848"/>
      <c r="E32" s="237"/>
      <c r="F32" s="1680"/>
      <c r="G32" s="237"/>
      <c r="H32" s="848"/>
      <c r="I32" s="1660"/>
      <c r="J32" s="1658"/>
      <c r="K32" s="1572"/>
      <c r="L32" s="848"/>
      <c r="M32" s="1659"/>
      <c r="N32" s="1680"/>
      <c r="O32" s="1658"/>
      <c r="P32" s="1680"/>
      <c r="Q32" s="1659"/>
      <c r="R32" s="1680"/>
      <c r="S32" s="1659"/>
      <c r="T32" s="1680"/>
      <c r="U32" s="1659"/>
      <c r="V32" s="1680"/>
      <c r="W32" s="1659"/>
      <c r="X32" s="1680"/>
      <c r="Y32" s="1661"/>
      <c r="Z32" s="1662"/>
      <c r="AA32" s="1667">
        <v>0</v>
      </c>
      <c r="AB32" s="3719"/>
      <c r="AC32" s="3720"/>
      <c r="AD32" s="1667">
        <v>0</v>
      </c>
      <c r="AE32" s="1672"/>
      <c r="AF32" s="1675"/>
      <c r="AG32" s="1665">
        <f>ROUND(SUM(AA32-AD32),1)</f>
        <v>0</v>
      </c>
      <c r="AH32" s="1673"/>
      <c r="AI32" s="1666">
        <f>ROUND(IF(AG32=0,0,AG32/ABS(AD32)),3)</f>
        <v>0</v>
      </c>
    </row>
    <row r="33" spans="1:35" s="391" customFormat="1" ht="22.5" customHeight="1">
      <c r="A33" s="249" t="s">
        <v>206</v>
      </c>
      <c r="B33" s="865">
        <f>ROUND(SUM(B31:B32),1)</f>
        <v>0</v>
      </c>
      <c r="C33" s="382"/>
      <c r="D33" s="865">
        <f>ROUND(SUM(D31:D32),1)</f>
        <v>0</v>
      </c>
      <c r="E33" s="382"/>
      <c r="F33" s="3267">
        <f>ROUND(SUM(F31:F32),1)</f>
        <v>0</v>
      </c>
      <c r="G33" s="382"/>
      <c r="H33" s="865">
        <f>ROUND(SUM(H31:H32),1)</f>
        <v>0</v>
      </c>
      <c r="I33" s="844"/>
      <c r="J33" s="865">
        <f>ROUND(SUM(J31:J32),1)</f>
        <v>0</v>
      </c>
      <c r="K33" s="382"/>
      <c r="L33" s="865">
        <f>ROUND(SUM(L31:L32),1)</f>
        <v>0</v>
      </c>
      <c r="M33" s="844"/>
      <c r="N33" s="865">
        <f>ROUND(SUM(N31:N32),1)</f>
        <v>0</v>
      </c>
      <c r="O33" s="844"/>
      <c r="P33" s="865">
        <f>ROUND(SUM(P31:P32),1)</f>
        <v>0</v>
      </c>
      <c r="Q33" s="866"/>
      <c r="R33" s="865">
        <f>ROUND(SUM(R31:R32),1)</f>
        <v>0</v>
      </c>
      <c r="S33" s="844"/>
      <c r="T33" s="865">
        <f>ROUND(SUM(T31:T32),1)</f>
        <v>0</v>
      </c>
      <c r="U33" s="844"/>
      <c r="V33" s="865">
        <f>ROUND(SUM(V31:V32),1)</f>
        <v>0</v>
      </c>
      <c r="W33" s="844"/>
      <c r="X33" s="3267">
        <f>ROUND(SUM(X31:X32),1)</f>
        <v>0</v>
      </c>
      <c r="Y33" s="3264"/>
      <c r="Z33" s="3265"/>
      <c r="AA33" s="3721">
        <f>ROUND(SUM(AA31:AA32),1)</f>
        <v>0</v>
      </c>
      <c r="AB33" s="3722"/>
      <c r="AC33" s="3723"/>
      <c r="AD33" s="3267">
        <f>ROUND(SUM(AD31:AD32),1)</f>
        <v>0</v>
      </c>
      <c r="AE33" s="3296"/>
      <c r="AF33" s="1674"/>
      <c r="AG33" s="3295">
        <f>ROUND(SUM(AG31-AG32),1)</f>
        <v>0</v>
      </c>
      <c r="AH33" s="1145"/>
      <c r="AI33" s="1161">
        <f>ROUND(IF(AG33=0,0,AG33/ABS(AD33)),3)</f>
        <v>0</v>
      </c>
    </row>
    <row r="34" spans="1:35" s="391" customFormat="1" ht="19.399999999999999" customHeight="1">
      <c r="A34" s="149"/>
      <c r="B34" s="381"/>
      <c r="C34" s="237"/>
      <c r="D34" s="381" t="s">
        <v>14</v>
      </c>
      <c r="E34" s="237"/>
      <c r="F34" s="2192"/>
      <c r="G34" s="237"/>
      <c r="H34" s="847"/>
      <c r="I34" s="839"/>
      <c r="J34" s="847"/>
      <c r="K34" s="237"/>
      <c r="L34" s="847"/>
      <c r="M34" s="839"/>
      <c r="N34" s="847"/>
      <c r="O34" s="839"/>
      <c r="P34" s="847"/>
      <c r="Q34" s="839"/>
      <c r="R34" s="847"/>
      <c r="S34" s="839"/>
      <c r="T34" s="847"/>
      <c r="U34" s="839"/>
      <c r="V34" s="847"/>
      <c r="W34" s="839"/>
      <c r="X34" s="3284"/>
      <c r="Y34" s="1661"/>
      <c r="Z34" s="1662"/>
      <c r="AA34" s="3712"/>
      <c r="AB34" s="3708"/>
      <c r="AC34" s="3713"/>
      <c r="AD34" s="3284"/>
      <c r="AE34" s="1681"/>
      <c r="AF34" s="1664"/>
      <c r="AG34" s="1681"/>
      <c r="AH34" s="1127"/>
      <c r="AI34" s="1126"/>
    </row>
    <row r="35" spans="1:35" s="391" customFormat="1" ht="19.399999999999999" customHeight="1">
      <c r="A35" s="249" t="s">
        <v>164</v>
      </c>
      <c r="B35" s="237"/>
      <c r="C35" s="237"/>
      <c r="D35" s="237" t="s">
        <v>14</v>
      </c>
      <c r="E35" s="237"/>
      <c r="F35" s="1572"/>
      <c r="G35" s="237"/>
      <c r="H35" s="839"/>
      <c r="I35" s="839"/>
      <c r="J35" s="839"/>
      <c r="K35" s="237"/>
      <c r="L35" s="839"/>
      <c r="M35" s="839"/>
      <c r="N35" s="839"/>
      <c r="O35" s="839"/>
      <c r="P35" s="839"/>
      <c r="Q35" s="839"/>
      <c r="R35" s="839"/>
      <c r="S35" s="839"/>
      <c r="T35" s="839"/>
      <c r="U35" s="839"/>
      <c r="V35" s="839"/>
      <c r="W35" s="839"/>
      <c r="X35" s="1660"/>
      <c r="Y35" s="1661"/>
      <c r="Z35" s="1662"/>
      <c r="AA35" s="3285"/>
      <c r="AB35" s="3708"/>
      <c r="AC35" s="3709"/>
      <c r="AD35" s="1660"/>
      <c r="AE35" s="3285"/>
      <c r="AF35" s="1664"/>
      <c r="AG35" s="1681"/>
      <c r="AH35" s="1127"/>
      <c r="AI35" s="1126"/>
    </row>
    <row r="36" spans="1:35" s="391" customFormat="1" ht="19.399999999999999" customHeight="1">
      <c r="A36" s="249" t="s">
        <v>225</v>
      </c>
      <c r="B36" s="237"/>
      <c r="C36" s="237"/>
      <c r="D36" s="237"/>
      <c r="E36" s="237"/>
      <c r="F36" s="1572"/>
      <c r="G36" s="237"/>
      <c r="H36" s="839"/>
      <c r="I36" s="839"/>
      <c r="J36" s="839"/>
      <c r="K36" s="237"/>
      <c r="L36" s="839"/>
      <c r="M36" s="839"/>
      <c r="N36" s="839"/>
      <c r="O36" s="839"/>
      <c r="P36" s="839"/>
      <c r="Q36" s="839"/>
      <c r="R36" s="839"/>
      <c r="S36" s="839"/>
      <c r="T36" s="839"/>
      <c r="U36" s="839"/>
      <c r="V36" s="838"/>
      <c r="W36" s="839"/>
      <c r="X36" s="1660"/>
      <c r="Y36" s="1661"/>
      <c r="Z36" s="1662"/>
      <c r="AA36" s="3285"/>
      <c r="AB36" s="3708"/>
      <c r="AC36" s="3709"/>
      <c r="AD36" s="1660"/>
      <c r="AE36" s="3297"/>
      <c r="AF36" s="1702"/>
      <c r="AG36" s="1681"/>
      <c r="AH36" s="1127"/>
      <c r="AI36" s="1127"/>
    </row>
    <row r="37" spans="1:35" s="393" customFormat="1" ht="19.399999999999999" customHeight="1">
      <c r="A37" s="249" t="s">
        <v>166</v>
      </c>
      <c r="B37" s="849">
        <f>ROUND(B28+B33,1)</f>
        <v>0.1</v>
      </c>
      <c r="C37" s="382"/>
      <c r="D37" s="849">
        <f>ROUND(D28+D33,1)</f>
        <v>0</v>
      </c>
      <c r="E37" s="384"/>
      <c r="F37" s="1692">
        <f>ROUND(F28+F33,1)</f>
        <v>0</v>
      </c>
      <c r="G37" s="384"/>
      <c r="H37" s="849">
        <f>ROUND(H28+H33,1)</f>
        <v>0</v>
      </c>
      <c r="I37" s="853"/>
      <c r="J37" s="849">
        <f>ROUND(J28+J33,1)</f>
        <v>0</v>
      </c>
      <c r="K37" s="384"/>
      <c r="L37" s="849">
        <f>ROUND(L28+L33,1)</f>
        <v>0</v>
      </c>
      <c r="M37" s="854"/>
      <c r="N37" s="849">
        <f>ROUND(N28+N33,1)</f>
        <v>0</v>
      </c>
      <c r="O37" s="854"/>
      <c r="P37" s="849">
        <f>ROUND(P28+P33,1)</f>
        <v>0</v>
      </c>
      <c r="Q37" s="854"/>
      <c r="R37" s="849">
        <f>ROUND(R28+R33,1)</f>
        <v>0</v>
      </c>
      <c r="S37" s="853"/>
      <c r="T37" s="849">
        <f>ROUND(T28+T33,1)</f>
        <v>0</v>
      </c>
      <c r="U37" s="853"/>
      <c r="V37" s="849">
        <f>ROUND(V28+V33,1)</f>
        <v>0</v>
      </c>
      <c r="W37" s="853"/>
      <c r="X37" s="1692">
        <f>ROUND(X28+X33,1)</f>
        <v>0</v>
      </c>
      <c r="Y37" s="3264"/>
      <c r="Z37" s="3265"/>
      <c r="AA37" s="3288">
        <f>ROUND(AA28+AA33,1)</f>
        <v>0.1</v>
      </c>
      <c r="AB37" s="3289"/>
      <c r="AC37" s="3724"/>
      <c r="AD37" s="1692">
        <f>ROUND(AD28+AD33,1)</f>
        <v>0.1</v>
      </c>
      <c r="AE37" s="3288"/>
      <c r="AF37" s="2198"/>
      <c r="AG37" s="3289">
        <f>ROUND(SUM(AG28+AG33),1)</f>
        <v>0</v>
      </c>
      <c r="AH37" s="1118"/>
      <c r="AI37" s="2114">
        <f>ROUND(IF(AD37=0,-1,AG37/ABS(AD37)),3)</f>
        <v>0</v>
      </c>
    </row>
    <row r="38" spans="1:35" s="391" customFormat="1" ht="22.5" customHeight="1" thickBot="1">
      <c r="A38" s="249" t="s">
        <v>140</v>
      </c>
      <c r="B38" s="855">
        <f>ROUND(SUM(B13,B37),1)</f>
        <v>40.299999999999997</v>
      </c>
      <c r="C38" s="377"/>
      <c r="D38" s="855">
        <f>ROUND(SUM(D13,D37),1)</f>
        <v>0</v>
      </c>
      <c r="E38" s="377"/>
      <c r="F38" s="3268">
        <f>ROUND(SUM(F13,F37),1)</f>
        <v>0</v>
      </c>
      <c r="G38" s="377"/>
      <c r="H38" s="855">
        <f>ROUND(SUM(H13,H37),1)</f>
        <v>0</v>
      </c>
      <c r="I38" s="856"/>
      <c r="J38" s="855">
        <f>ROUND(SUM(J13,J37),1)</f>
        <v>0</v>
      </c>
      <c r="K38" s="377"/>
      <c r="L38" s="855">
        <f>ROUND(SUM(L13,L37),1)</f>
        <v>0</v>
      </c>
      <c r="M38" s="378"/>
      <c r="N38" s="855">
        <f>ROUND(SUM(N13,N37),1)</f>
        <v>0</v>
      </c>
      <c r="O38" s="378"/>
      <c r="P38" s="855">
        <f>ROUND(SUM(P13,P37),1)</f>
        <v>0</v>
      </c>
      <c r="Q38" s="378"/>
      <c r="R38" s="855">
        <f>ROUND(SUM(R13,R37),1)</f>
        <v>0</v>
      </c>
      <c r="S38" s="856"/>
      <c r="T38" s="855">
        <f>ROUND(SUM(T13,T37),1)</f>
        <v>0</v>
      </c>
      <c r="U38" s="856"/>
      <c r="V38" s="855">
        <f>ROUND(SUM(V13,V37),1)</f>
        <v>0</v>
      </c>
      <c r="W38" s="856"/>
      <c r="X38" s="3268">
        <f>ROUND(SUM(X13,X37),1)</f>
        <v>0</v>
      </c>
      <c r="Y38" s="1649"/>
      <c r="Z38" s="1650"/>
      <c r="AA38" s="3725">
        <f>ROUND(SUM(AA13,AA37),1)</f>
        <v>40.299999999999997</v>
      </c>
      <c r="AB38" s="1653"/>
      <c r="AC38" s="3726"/>
      <c r="AD38" s="3298">
        <f>ROUND(SUM(AD13,AD37),1)</f>
        <v>14.4</v>
      </c>
      <c r="AE38" s="1653"/>
      <c r="AF38" s="2200"/>
      <c r="AG38" s="3298">
        <f>ROUND(SUM(AA38-AD38),1)</f>
        <v>25.9</v>
      </c>
      <c r="AH38" s="1144"/>
      <c r="AI38" s="1163">
        <f>ROUND(IF(AG38=0,0,AG38/ABS(AD38)),3)</f>
        <v>1.7989999999999999</v>
      </c>
    </row>
    <row r="39" spans="1:35" s="391" customFormat="1" ht="19.399999999999999" customHeight="1" thickTop="1">
      <c r="A39" s="149" t="s">
        <v>14</v>
      </c>
      <c r="B39" s="857"/>
      <c r="C39" s="858"/>
      <c r="D39" s="857"/>
      <c r="E39" s="858"/>
      <c r="F39" s="3269"/>
      <c r="G39" s="858"/>
      <c r="H39" s="857"/>
      <c r="I39" s="858"/>
      <c r="J39" s="857"/>
      <c r="K39" s="858"/>
      <c r="L39" s="857"/>
      <c r="M39" s="858"/>
      <c r="N39" s="857"/>
      <c r="O39" s="858"/>
      <c r="P39" s="857"/>
      <c r="Q39" s="858"/>
      <c r="R39" s="857"/>
      <c r="S39" s="858"/>
      <c r="T39" s="857"/>
      <c r="U39" s="858"/>
      <c r="V39" s="857"/>
      <c r="W39" s="858"/>
      <c r="X39" s="3269"/>
      <c r="Y39" s="3271"/>
      <c r="Z39" s="3271"/>
      <c r="AA39" s="3290"/>
      <c r="AB39" s="3291"/>
      <c r="AC39" s="3291"/>
      <c r="AD39" s="3291"/>
      <c r="AE39" s="3291"/>
      <c r="AF39" s="3291"/>
      <c r="AG39" s="3228"/>
      <c r="AH39" s="1127"/>
      <c r="AI39" s="1126"/>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299"/>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00"/>
    </row>
    <row r="42" spans="1:35" ht="15.5">
      <c r="A42" s="391"/>
    </row>
    <row r="43" spans="1:35" ht="13.5" customHeight="1">
      <c r="A43" s="684"/>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00"/>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00"/>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80" zoomScaleNormal="60" workbookViewId="0"/>
  </sheetViews>
  <sheetFormatPr defaultColWidth="8.765625" defaultRowHeight="10"/>
  <cols>
    <col min="1" max="1" width="38.4609375" style="2226" customWidth="1"/>
    <col min="2" max="2" width="6.765625" style="2226" customWidth="1"/>
    <col min="3" max="3" width="4.07421875" style="2226" customWidth="1"/>
    <col min="4" max="4" width="14" style="2226" customWidth="1"/>
    <col min="5" max="5" width="1.07421875" style="2226" customWidth="1"/>
    <col min="6" max="6" width="13.4609375" style="2226" customWidth="1"/>
    <col min="7" max="7" width="1.07421875" style="2226" customWidth="1"/>
    <col min="8" max="8" width="13.4609375" style="2227" customWidth="1"/>
    <col min="9" max="9" width="1.765625" style="2226" customWidth="1"/>
    <col min="10" max="10" width="13.4609375" style="2226" customWidth="1"/>
    <col min="11" max="11" width="1.07421875" style="2226" customWidth="1"/>
    <col min="12" max="12" width="11.765625" style="2226" customWidth="1"/>
    <col min="13" max="13" width="1.07421875" style="2226" customWidth="1"/>
    <col min="14" max="14" width="13.53515625" style="2226" customWidth="1"/>
    <col min="15" max="15" width="1.07421875" style="2226" customWidth="1"/>
    <col min="16" max="16" width="0.765625" style="2226" customWidth="1"/>
    <col min="17" max="17" width="1.07421875" style="2226" customWidth="1"/>
    <col min="18" max="18" width="14.4609375" style="2226" customWidth="1"/>
    <col min="19" max="19" width="1.07421875" style="2226" customWidth="1"/>
    <col min="20" max="20" width="14.4609375" style="2226" customWidth="1"/>
    <col min="21" max="21" width="1.07421875" style="2228" customWidth="1"/>
    <col min="22" max="22" width="0.765625" style="2228" customWidth="1"/>
    <col min="23" max="24" width="1.07421875" style="2228" customWidth="1"/>
    <col min="25" max="25" width="12.765625" style="2228" customWidth="1"/>
    <col min="26" max="26" width="1.07421875" style="2228" customWidth="1"/>
    <col min="27" max="27" width="16.765625" style="2228" bestFit="1" customWidth="1"/>
    <col min="28" max="28" width="1.765625" style="2228" customWidth="1"/>
    <col min="29" max="29" width="1.07421875" style="2334" customWidth="1"/>
    <col min="30" max="30" width="13.07421875" style="2228" customWidth="1"/>
    <col min="31" max="31" width="3" style="2228" customWidth="1"/>
    <col min="32" max="32" width="12" style="2228" customWidth="1"/>
    <col min="33" max="16384" width="8.765625" style="2228"/>
  </cols>
  <sheetData>
    <row r="1" spans="1:33" ht="15.5">
      <c r="A1" s="2225" t="s">
        <v>885</v>
      </c>
    </row>
    <row r="2" spans="1:33" ht="15" customHeight="1">
      <c r="A2" s="2225"/>
    </row>
    <row r="3" spans="1:33" ht="21" customHeight="1">
      <c r="A3" s="3916" t="s">
        <v>0</v>
      </c>
      <c r="B3" s="3917"/>
      <c r="C3" s="3917"/>
      <c r="D3" s="3917"/>
      <c r="E3" s="3917"/>
      <c r="F3" s="3917"/>
      <c r="G3" s="3917"/>
      <c r="H3" s="3917"/>
      <c r="I3" s="3917"/>
      <c r="J3" s="3917"/>
      <c r="K3" s="3917"/>
      <c r="L3" s="3917"/>
      <c r="M3" s="3917"/>
      <c r="N3" s="3917"/>
      <c r="O3" s="3917"/>
      <c r="P3" s="3917"/>
      <c r="Q3" s="3917"/>
      <c r="R3" s="3917"/>
      <c r="S3" s="3917"/>
      <c r="T3" s="3917"/>
      <c r="U3" s="3917"/>
      <c r="V3" s="3917"/>
      <c r="W3" s="3917"/>
      <c r="X3" s="3917"/>
      <c r="Y3" s="3917"/>
      <c r="Z3" s="3917"/>
      <c r="AA3" s="3917"/>
      <c r="AB3" s="3917"/>
      <c r="AC3" s="2335"/>
      <c r="AF3" s="2232" t="s">
        <v>53</v>
      </c>
    </row>
    <row r="4" spans="1:33" ht="20">
      <c r="A4" s="3918" t="s">
        <v>1082</v>
      </c>
      <c r="B4" s="3917"/>
      <c r="C4" s="3917"/>
      <c r="D4" s="3917"/>
      <c r="E4" s="3917"/>
      <c r="F4" s="3917"/>
      <c r="G4" s="3917"/>
      <c r="H4" s="3917"/>
      <c r="I4" s="3917"/>
      <c r="J4" s="3917"/>
      <c r="K4" s="3917"/>
      <c r="L4" s="3917"/>
      <c r="M4" s="3917"/>
      <c r="N4" s="3917"/>
      <c r="O4" s="3917"/>
      <c r="P4" s="3917"/>
      <c r="Q4" s="3917"/>
      <c r="R4" s="3917"/>
      <c r="S4" s="3917"/>
      <c r="T4" s="3917"/>
      <c r="U4" s="3917"/>
      <c r="V4" s="3917"/>
      <c r="W4" s="3917"/>
      <c r="X4" s="3917"/>
      <c r="Y4" s="3917"/>
      <c r="Z4" s="3917"/>
      <c r="AA4" s="3917"/>
      <c r="AB4" s="3917"/>
      <c r="AC4" s="2335"/>
      <c r="AF4" s="2232" t="s">
        <v>54</v>
      </c>
    </row>
    <row r="5" spans="1:33" ht="21" customHeight="1">
      <c r="A5" s="3918" t="s">
        <v>795</v>
      </c>
      <c r="B5" s="3917"/>
      <c r="C5" s="3917"/>
      <c r="D5" s="3917"/>
      <c r="E5" s="3917"/>
      <c r="F5" s="3917"/>
      <c r="G5" s="3917"/>
      <c r="H5" s="3917"/>
      <c r="I5" s="3917"/>
      <c r="J5" s="3917"/>
      <c r="K5" s="3917"/>
      <c r="L5" s="3917"/>
      <c r="M5" s="3917"/>
      <c r="N5" s="3917"/>
      <c r="O5" s="3917"/>
      <c r="P5" s="3917"/>
      <c r="Q5" s="3917"/>
      <c r="R5" s="3917"/>
      <c r="S5" s="3917"/>
      <c r="T5" s="3917"/>
      <c r="U5" s="3917"/>
      <c r="V5" s="3917"/>
      <c r="W5" s="3917"/>
      <c r="X5" s="3917"/>
      <c r="Y5" s="3917"/>
      <c r="Z5" s="3917"/>
      <c r="AA5" s="3917"/>
      <c r="AB5" s="3917"/>
      <c r="AC5" s="2335"/>
    </row>
    <row r="6" spans="1:33" ht="21" customHeight="1">
      <c r="A6" s="2336" t="s">
        <v>1280</v>
      </c>
      <c r="B6" s="2337"/>
      <c r="C6" s="2337"/>
      <c r="D6" s="2337"/>
      <c r="E6" s="2337"/>
      <c r="F6" s="2337"/>
      <c r="G6" s="2337"/>
      <c r="H6" s="2337"/>
      <c r="I6" s="2337"/>
      <c r="J6" s="2337"/>
      <c r="K6" s="2337"/>
      <c r="L6" s="2337"/>
      <c r="M6" s="2337"/>
      <c r="N6" s="2337"/>
      <c r="O6" s="2337"/>
      <c r="P6" s="2337"/>
      <c r="Q6" s="2337"/>
      <c r="R6" s="2337"/>
      <c r="S6" s="2337"/>
      <c r="T6" s="2337"/>
      <c r="U6" s="2337"/>
      <c r="V6" s="2337"/>
      <c r="W6" s="2337"/>
      <c r="X6" s="2337"/>
      <c r="Y6" s="3892"/>
      <c r="Z6" s="3892"/>
      <c r="AA6" s="3892"/>
      <c r="AB6" s="2337"/>
      <c r="AC6" s="2335"/>
    </row>
    <row r="7" spans="1:33" ht="15.75" customHeight="1">
      <c r="A7" s="3918"/>
      <c r="B7" s="3917"/>
      <c r="C7" s="3917"/>
      <c r="D7" s="3917"/>
      <c r="E7" s="3917"/>
      <c r="F7" s="3917"/>
      <c r="G7" s="3917"/>
      <c r="H7" s="3917"/>
      <c r="I7" s="3917"/>
      <c r="J7" s="3917"/>
      <c r="K7" s="3917"/>
      <c r="L7" s="3917"/>
      <c r="M7" s="3917"/>
      <c r="N7" s="3917"/>
      <c r="O7" s="3917"/>
      <c r="P7" s="3917"/>
      <c r="Q7" s="3917"/>
      <c r="R7" s="3917"/>
      <c r="S7" s="3917"/>
      <c r="T7" s="3917"/>
      <c r="U7" s="3917"/>
      <c r="V7" s="3917"/>
      <c r="W7" s="3917"/>
      <c r="X7" s="3917"/>
      <c r="Y7" s="3917"/>
      <c r="Z7" s="3917"/>
      <c r="AA7" s="3917"/>
      <c r="AB7" s="3917"/>
      <c r="AC7" s="2335"/>
    </row>
    <row r="8" spans="1:33" ht="15.75" customHeight="1">
      <c r="A8" s="1"/>
      <c r="B8" s="1"/>
      <c r="C8" s="1"/>
      <c r="D8" s="1"/>
      <c r="E8" s="1"/>
      <c r="F8" s="1"/>
      <c r="G8" s="1"/>
      <c r="H8" s="2235"/>
      <c r="I8" s="2"/>
      <c r="J8" s="2"/>
      <c r="K8" s="2"/>
      <c r="L8" s="2"/>
      <c r="M8" s="1"/>
      <c r="N8" s="2"/>
      <c r="O8" s="2"/>
      <c r="P8" s="2"/>
      <c r="Q8" s="2"/>
      <c r="R8" s="2"/>
      <c r="S8" s="2"/>
      <c r="T8" s="2"/>
      <c r="U8" s="2338"/>
      <c r="V8" s="2338"/>
      <c r="W8" s="2338"/>
      <c r="X8" s="2338"/>
      <c r="Y8" s="2339"/>
      <c r="Z8" s="2339"/>
      <c r="AA8" s="2232"/>
      <c r="AB8" s="2339"/>
      <c r="AC8" s="2340"/>
    </row>
    <row r="9" spans="1:33" ht="15.75" customHeight="1">
      <c r="A9" s="1"/>
      <c r="B9" s="1"/>
      <c r="C9" s="1"/>
      <c r="D9" s="1"/>
      <c r="E9" s="1"/>
      <c r="F9" s="1"/>
      <c r="G9" s="1"/>
      <c r="H9" s="2235"/>
      <c r="I9" s="2"/>
      <c r="J9" s="2"/>
      <c r="K9" s="2"/>
      <c r="L9" s="2"/>
      <c r="M9" s="1"/>
      <c r="N9" s="2"/>
      <c r="O9" s="2341"/>
      <c r="P9" s="2341"/>
      <c r="Q9" s="2341"/>
      <c r="R9" s="2341"/>
      <c r="S9" s="2295"/>
      <c r="T9" s="2295"/>
      <c r="U9" s="2334"/>
      <c r="V9" s="2334"/>
      <c r="W9" s="2334"/>
      <c r="X9" s="2342"/>
      <c r="Y9" s="2339"/>
      <c r="Z9" s="2339"/>
      <c r="AA9" s="2232"/>
      <c r="AB9" s="2339"/>
      <c r="AC9" s="2340"/>
    </row>
    <row r="10" spans="1:33" ht="16.399999999999999" customHeight="1">
      <c r="A10" s="1"/>
      <c r="B10" s="1"/>
      <c r="C10" s="2240"/>
      <c r="D10" s="3913"/>
      <c r="E10" s="3914"/>
      <c r="F10" s="3914"/>
      <c r="G10" s="3914"/>
      <c r="H10" s="3914"/>
      <c r="I10" s="3914"/>
      <c r="J10" s="3914"/>
      <c r="K10" s="3914"/>
      <c r="L10" s="3914"/>
      <c r="M10" s="3914"/>
      <c r="N10" s="3914"/>
      <c r="O10" s="2342"/>
      <c r="P10" s="2343"/>
      <c r="Q10" s="2342"/>
      <c r="R10" s="3912"/>
      <c r="S10" s="3912"/>
      <c r="T10" s="3912"/>
      <c r="U10" s="3912"/>
      <c r="V10" s="3912"/>
      <c r="W10" s="3912"/>
      <c r="X10" s="3912"/>
      <c r="Y10" s="3912"/>
      <c r="Z10" s="3912"/>
      <c r="AA10" s="3912"/>
      <c r="AB10" s="3912"/>
      <c r="AC10" s="2344"/>
      <c r="AD10" s="2334"/>
      <c r="AE10" s="2334"/>
      <c r="AF10" s="2334"/>
      <c r="AG10" s="2334"/>
    </row>
    <row r="11" spans="1:33" ht="16.399999999999999" customHeight="1">
      <c r="A11" s="2251"/>
      <c r="B11" s="610"/>
      <c r="C11" s="610"/>
      <c r="D11" s="3" t="s">
        <v>2</v>
      </c>
      <c r="E11" s="3"/>
      <c r="F11" s="3"/>
      <c r="G11" s="2245"/>
      <c r="H11" s="2345" t="s">
        <v>1064</v>
      </c>
      <c r="I11" s="3"/>
      <c r="J11" s="3"/>
      <c r="K11" s="2295"/>
      <c r="L11" s="3915" t="s">
        <v>4</v>
      </c>
      <c r="M11" s="3915"/>
      <c r="N11" s="3915"/>
      <c r="O11" s="5"/>
      <c r="P11" s="2247"/>
      <c r="Q11" s="2247"/>
      <c r="R11" s="2346" t="s">
        <v>1400</v>
      </c>
      <c r="S11" s="2346"/>
      <c r="T11" s="2346"/>
      <c r="U11" s="2346"/>
      <c r="V11" s="2346"/>
      <c r="W11" s="2346"/>
      <c r="X11" s="2346"/>
      <c r="Y11" s="2346"/>
      <c r="Z11" s="2346"/>
      <c r="AA11" s="2346"/>
      <c r="AB11" s="2346"/>
      <c r="AC11" s="2347"/>
      <c r="AD11" s="2348"/>
      <c r="AE11" s="2348"/>
      <c r="AF11" s="2348"/>
    </row>
    <row r="12" spans="1:33" ht="15.75" customHeight="1">
      <c r="A12" s="2244"/>
      <c r="B12" s="2244"/>
      <c r="C12" s="7"/>
      <c r="D12" s="5" t="s">
        <v>6</v>
      </c>
      <c r="E12" s="5"/>
      <c r="F12" s="4" t="str">
        <f>'Exhibit A'!F11</f>
        <v>1 MO. ENDED</v>
      </c>
      <c r="G12" s="2239"/>
      <c r="H12" s="5" t="s">
        <v>6</v>
      </c>
      <c r="I12" s="5"/>
      <c r="J12" s="5" t="str">
        <f>F12</f>
        <v>1 MO. ENDED</v>
      </c>
      <c r="K12" s="2239"/>
      <c r="L12" s="5" t="s">
        <v>6</v>
      </c>
      <c r="M12" s="5"/>
      <c r="N12" s="5" t="str">
        <f>F12</f>
        <v>1 MO. ENDED</v>
      </c>
      <c r="O12" s="5"/>
      <c r="P12" s="2349"/>
      <c r="Q12" s="5"/>
      <c r="R12" s="5" t="s">
        <v>6</v>
      </c>
      <c r="S12" s="5"/>
      <c r="T12" s="5" t="str">
        <f>F12</f>
        <v>1 MO. ENDED</v>
      </c>
      <c r="U12" s="2247"/>
      <c r="V12" s="2247"/>
      <c r="W12" s="2247"/>
      <c r="X12" s="2247"/>
      <c r="Y12" s="3891" t="s">
        <v>6</v>
      </c>
      <c r="Z12" s="3891"/>
      <c r="AA12" s="3891" t="str">
        <f>'Exhibit A'!AD11</f>
        <v>1 MO. ENDED</v>
      </c>
      <c r="AB12" s="2247"/>
      <c r="AC12" s="2350"/>
      <c r="AD12" s="2247" t="s">
        <v>7</v>
      </c>
      <c r="AE12" s="2248"/>
      <c r="AF12" s="5" t="s">
        <v>8</v>
      </c>
    </row>
    <row r="13" spans="1:33" ht="16.399999999999999" customHeight="1">
      <c r="A13" s="2244"/>
      <c r="B13" s="2244"/>
      <c r="C13" s="2244"/>
      <c r="D13" s="898" t="str">
        <f>'Exhibit A'!D12</f>
        <v>APR. 2021</v>
      </c>
      <c r="E13" s="2239"/>
      <c r="F13" s="898" t="str">
        <f>'Exhibit A'!F12</f>
        <v>APR. 30, 2021</v>
      </c>
      <c r="G13" s="2239"/>
      <c r="H13" s="6" t="str">
        <f>D13</f>
        <v>APR. 2021</v>
      </c>
      <c r="I13" s="2239"/>
      <c r="J13" s="6" t="str">
        <f>F13</f>
        <v>APR. 30, 2021</v>
      </c>
      <c r="K13" s="2239"/>
      <c r="L13" s="6" t="str">
        <f>D13</f>
        <v>APR. 2021</v>
      </c>
      <c r="M13" s="2239"/>
      <c r="N13" s="6" t="str">
        <f>F13</f>
        <v>APR. 30, 2021</v>
      </c>
      <c r="O13" s="5"/>
      <c r="P13" s="2349"/>
      <c r="Q13" s="5"/>
      <c r="R13" s="6" t="str">
        <f>D13</f>
        <v>APR. 2021</v>
      </c>
      <c r="S13" s="2239"/>
      <c r="T13" s="6" t="str">
        <f>F13</f>
        <v>APR. 30, 2021</v>
      </c>
      <c r="U13" s="2247"/>
      <c r="V13" s="2247"/>
      <c r="W13" s="2247"/>
      <c r="X13" s="2351"/>
      <c r="Y13" s="3411" t="str">
        <f>'Exhibit A'!AB12</f>
        <v>APR. 2020</v>
      </c>
      <c r="Z13" s="2351"/>
      <c r="AA13" s="3411" t="str">
        <f>'Exhibit A'!AD12</f>
        <v>APR. 30, 2020</v>
      </c>
      <c r="AB13" s="2351"/>
      <c r="AC13" s="2350"/>
      <c r="AD13" s="2352" t="s">
        <v>11</v>
      </c>
      <c r="AE13" s="2225"/>
      <c r="AF13" s="898" t="s">
        <v>12</v>
      </c>
    </row>
    <row r="14" spans="1:33" ht="16.399999999999999" customHeight="1">
      <c r="A14" s="2243" t="s">
        <v>13</v>
      </c>
      <c r="B14" s="2244"/>
      <c r="C14" s="2244"/>
      <c r="D14" s="2353" t="s">
        <v>14</v>
      </c>
      <c r="E14" s="2244"/>
      <c r="F14" s="7"/>
      <c r="G14" s="2244"/>
      <c r="H14" s="610" t="s">
        <v>14</v>
      </c>
      <c r="I14" s="2244"/>
      <c r="J14" s="7"/>
      <c r="K14" s="2244"/>
      <c r="L14" s="610" t="s">
        <v>14</v>
      </c>
      <c r="M14" s="2244"/>
      <c r="N14" s="7"/>
      <c r="O14" s="7"/>
      <c r="P14" s="2354"/>
      <c r="Q14" s="2355"/>
      <c r="R14" s="7"/>
      <c r="S14" s="7"/>
      <c r="T14" s="7"/>
      <c r="U14" s="2254"/>
      <c r="V14" s="2254"/>
      <c r="W14" s="2356"/>
      <c r="X14" s="2254"/>
      <c r="Y14" s="2254"/>
      <c r="Z14" s="2293"/>
      <c r="AA14" s="2254"/>
      <c r="AB14" s="2254"/>
      <c r="AC14" s="2357"/>
      <c r="AD14" s="2254"/>
      <c r="AE14" s="2226"/>
      <c r="AF14" s="1422"/>
    </row>
    <row r="15" spans="1:33" ht="18" customHeight="1">
      <c r="A15" s="2244" t="s">
        <v>15</v>
      </c>
      <c r="B15" s="2267"/>
      <c r="C15" s="2244"/>
      <c r="D15" s="1356">
        <f>+'Exhibit A'!D14</f>
        <v>3262.9</v>
      </c>
      <c r="E15" s="652" t="s">
        <v>14</v>
      </c>
      <c r="F15" s="652">
        <f>+'Exhibit A'!F14</f>
        <v>3262.9</v>
      </c>
      <c r="G15" s="652"/>
      <c r="H15" s="2358">
        <f>+'Exhibit G State'!D17</f>
        <v>0</v>
      </c>
      <c r="I15" s="652"/>
      <c r="J15" s="2359">
        <f>'Exhibit G State'!AD17</f>
        <v>0</v>
      </c>
      <c r="K15" s="652"/>
      <c r="L15" s="1415">
        <f>+'Exhibit A'!L14</f>
        <v>3262.9</v>
      </c>
      <c r="M15" s="652"/>
      <c r="N15" s="652">
        <f>+'Exhibit A'!N14</f>
        <v>3262.9</v>
      </c>
      <c r="O15" s="2260"/>
      <c r="P15" s="2360"/>
      <c r="Q15" s="2361"/>
      <c r="R15" s="652">
        <f t="shared" ref="R15:R20" si="0">ROUND(SUM(D15+H15+L15),1)</f>
        <v>6525.8</v>
      </c>
      <c r="S15" s="652"/>
      <c r="T15" s="2362">
        <f t="shared" ref="T15:T20" si="1">ROUND(SUM(F15+J15+N15),1)</f>
        <v>6525.8</v>
      </c>
      <c r="U15" s="2363"/>
      <c r="V15" s="2363"/>
      <c r="W15" s="2364"/>
      <c r="X15" s="2363"/>
      <c r="Y15" s="2363">
        <v>2066.1999999999998</v>
      </c>
      <c r="Z15" s="2363" t="s">
        <v>14</v>
      </c>
      <c r="AA15" s="2363">
        <f>'Exhibit F'!AF26+'Exhibit G State'!AG17+'Exhibit H'!AD16</f>
        <v>2066.1999999999998</v>
      </c>
      <c r="AB15" s="2365"/>
      <c r="AC15" s="2366"/>
      <c r="AD15" s="2363">
        <f t="shared" ref="AD15:AD20" si="2">ROUND(SUM(T15-AA15),1)</f>
        <v>4459.6000000000004</v>
      </c>
      <c r="AE15" s="2265"/>
      <c r="AF15" s="1419">
        <f>ROUND(+AD15/AA15,3)</f>
        <v>2.1579999999999999</v>
      </c>
    </row>
    <row r="16" spans="1:33" ht="18" customHeight="1">
      <c r="A16" s="2244" t="s">
        <v>16</v>
      </c>
      <c r="B16" s="2267" t="s">
        <v>14</v>
      </c>
      <c r="C16" s="2244"/>
      <c r="D16" s="612">
        <f>+'Exhibit A'!D15</f>
        <v>351.1</v>
      </c>
      <c r="E16" s="9"/>
      <c r="F16" s="9">
        <f>+'Exhibit A'!F15</f>
        <v>351.1</v>
      </c>
      <c r="G16" s="9"/>
      <c r="H16" s="2367">
        <f>+'Exhibit G State'!D28</f>
        <v>187.7</v>
      </c>
      <c r="I16" s="9"/>
      <c r="J16" s="2368">
        <f>'Exhibit G State'!AD28</f>
        <v>187.7</v>
      </c>
      <c r="K16" s="9"/>
      <c r="L16" s="612">
        <f>+'Exhibit A'!L15</f>
        <v>895.4</v>
      </c>
      <c r="M16" s="9"/>
      <c r="N16" s="9">
        <f>+'Exhibit A'!N15</f>
        <v>895.4</v>
      </c>
      <c r="O16" s="14"/>
      <c r="P16" s="2369"/>
      <c r="Q16" s="2370"/>
      <c r="R16" s="9">
        <f t="shared" si="0"/>
        <v>1434.2</v>
      </c>
      <c r="S16" s="9"/>
      <c r="T16" s="2371">
        <f t="shared" si="1"/>
        <v>1434.2</v>
      </c>
      <c r="U16" s="22"/>
      <c r="V16" s="22"/>
      <c r="W16" s="2299"/>
      <c r="X16" s="22"/>
      <c r="Y16" s="22">
        <v>1009</v>
      </c>
      <c r="Z16" s="22" t="s">
        <v>14</v>
      </c>
      <c r="AA16" s="22">
        <f>'Exhibit F'!AF36+'Exhibit G State'!AG28+'Exhibit H'!AD20</f>
        <v>1009</v>
      </c>
      <c r="AB16" s="2254"/>
      <c r="AC16" s="2357"/>
      <c r="AD16" s="22">
        <f t="shared" si="2"/>
        <v>425.2</v>
      </c>
      <c r="AE16" s="2226"/>
      <c r="AF16" s="1419">
        <f t="shared" ref="AF16:AF21" si="3">ROUND(+AD16/AA16,3)</f>
        <v>0.42099999999999999</v>
      </c>
    </row>
    <row r="17" spans="1:32" ht="18" customHeight="1">
      <c r="A17" s="2244" t="s">
        <v>17</v>
      </c>
      <c r="B17" s="2271"/>
      <c r="C17" s="2244"/>
      <c r="D17" s="612">
        <f>+'Exhibit A'!D16</f>
        <v>729.6</v>
      </c>
      <c r="E17" s="9"/>
      <c r="F17" s="9">
        <f>+'Exhibit A'!F16</f>
        <v>729.6</v>
      </c>
      <c r="G17" s="9"/>
      <c r="H17" s="2367">
        <f>+'Exhibit G State'!D35</f>
        <v>198.9</v>
      </c>
      <c r="I17" s="9"/>
      <c r="J17" s="2368">
        <f>'Exhibit G State'!AD35</f>
        <v>198.9</v>
      </c>
      <c r="K17" s="9"/>
      <c r="L17" s="612">
        <f>+'Exhibit A'!L16</f>
        <v>0</v>
      </c>
      <c r="M17" s="9"/>
      <c r="N17" s="9">
        <f>+'Exhibit A'!N16</f>
        <v>0</v>
      </c>
      <c r="O17" s="17"/>
      <c r="P17" s="2372"/>
      <c r="Q17" s="2373"/>
      <c r="R17" s="9">
        <f t="shared" si="0"/>
        <v>928.5</v>
      </c>
      <c r="S17" s="9"/>
      <c r="T17" s="2371">
        <f t="shared" si="1"/>
        <v>928.5</v>
      </c>
      <c r="U17" s="22"/>
      <c r="V17" s="22"/>
      <c r="W17" s="2374"/>
      <c r="X17" s="21"/>
      <c r="Y17" s="22">
        <v>377.8</v>
      </c>
      <c r="Z17" s="22" t="s">
        <v>14</v>
      </c>
      <c r="AA17" s="22">
        <f>'Exhibit F'!AF43+'Exhibit G State'!AG35</f>
        <v>377.8</v>
      </c>
      <c r="AB17" s="2254"/>
      <c r="AC17" s="2357"/>
      <c r="AD17" s="22">
        <f t="shared" si="2"/>
        <v>550.70000000000005</v>
      </c>
      <c r="AE17" s="2226"/>
      <c r="AF17" s="1419">
        <f t="shared" si="3"/>
        <v>1.458</v>
      </c>
    </row>
    <row r="18" spans="1:32" ht="18" customHeight="1">
      <c r="A18" s="2244" t="s">
        <v>18</v>
      </c>
      <c r="B18" s="2267" t="s">
        <v>14</v>
      </c>
      <c r="C18" s="2244"/>
      <c r="D18" s="612">
        <f>+'Exhibit A'!D17</f>
        <v>121.2</v>
      </c>
      <c r="E18" s="9"/>
      <c r="F18" s="9">
        <f>+'Exhibit A'!F17</f>
        <v>121.2</v>
      </c>
      <c r="G18" s="9"/>
      <c r="H18" s="2367">
        <v>0</v>
      </c>
      <c r="I18" s="9"/>
      <c r="J18" s="2368">
        <v>0</v>
      </c>
      <c r="K18" s="9"/>
      <c r="L18" s="612">
        <f>+'Exhibit A'!L17</f>
        <v>97.5</v>
      </c>
      <c r="M18" s="9"/>
      <c r="N18" s="9">
        <f>+'Exhibit A'!N17</f>
        <v>97.5</v>
      </c>
      <c r="O18" s="14"/>
      <c r="P18" s="2369"/>
      <c r="Q18" s="2370"/>
      <c r="R18" s="9">
        <f t="shared" si="0"/>
        <v>218.7</v>
      </c>
      <c r="S18" s="9"/>
      <c r="T18" s="2371">
        <f t="shared" si="1"/>
        <v>218.7</v>
      </c>
      <c r="U18" s="22"/>
      <c r="V18" s="22"/>
      <c r="W18" s="2299"/>
      <c r="X18" s="22"/>
      <c r="Y18" s="22">
        <v>130.9</v>
      </c>
      <c r="Z18" s="22" t="s">
        <v>14</v>
      </c>
      <c r="AA18" s="22">
        <f>'Exhibit F'!AF51+'Exhibit H'!AD24</f>
        <v>130.9</v>
      </c>
      <c r="AB18" s="2254"/>
      <c r="AC18" s="2357"/>
      <c r="AD18" s="22">
        <f t="shared" si="2"/>
        <v>87.8</v>
      </c>
      <c r="AE18" s="2226"/>
      <c r="AF18" s="1419">
        <f t="shared" si="3"/>
        <v>0.67100000000000004</v>
      </c>
    </row>
    <row r="19" spans="1:32" ht="18" customHeight="1">
      <c r="A19" s="2244" t="s">
        <v>19</v>
      </c>
      <c r="B19" s="2267" t="s">
        <v>14</v>
      </c>
      <c r="C19" s="2244"/>
      <c r="D19" s="612">
        <f>+'Exhibit A'!D18</f>
        <v>172.5</v>
      </c>
      <c r="E19" s="612"/>
      <c r="F19" s="9">
        <f>+'Exhibit A'!F18</f>
        <v>172.5</v>
      </c>
      <c r="G19" s="9"/>
      <c r="H19" s="2367">
        <f>+'Exhibit G State'!D80</f>
        <v>1319.2</v>
      </c>
      <c r="I19" s="9"/>
      <c r="J19" s="2368">
        <f>'Exhibit G State'!AD80</f>
        <v>1319.2</v>
      </c>
      <c r="K19" s="9"/>
      <c r="L19" s="612">
        <f>+'Exhibit A'!L18</f>
        <v>43.2</v>
      </c>
      <c r="M19" s="9"/>
      <c r="N19" s="9">
        <f>+'Exhibit A'!N18</f>
        <v>43.2</v>
      </c>
      <c r="O19" s="14"/>
      <c r="P19" s="2369"/>
      <c r="Q19" s="2370"/>
      <c r="R19" s="9">
        <f t="shared" si="0"/>
        <v>1534.9</v>
      </c>
      <c r="S19" s="9"/>
      <c r="T19" s="2371">
        <f t="shared" si="1"/>
        <v>1534.9</v>
      </c>
      <c r="U19" s="22"/>
      <c r="V19" s="22"/>
      <c r="W19" s="2299"/>
      <c r="X19" s="22"/>
      <c r="Y19" s="22">
        <v>1431.2</v>
      </c>
      <c r="Z19" s="22" t="s">
        <v>14</v>
      </c>
      <c r="AA19" s="22">
        <f>+'Exhibit F'!AF92+'Exhibit G State'!AG80+'Exhibit H'!AD47</f>
        <v>1431.1999999999998</v>
      </c>
      <c r="AB19" s="2254"/>
      <c r="AC19" s="2357"/>
      <c r="AD19" s="22">
        <f t="shared" si="2"/>
        <v>103.7</v>
      </c>
      <c r="AE19" s="2226"/>
      <c r="AF19" s="1419">
        <f t="shared" si="3"/>
        <v>7.1999999999999995E-2</v>
      </c>
    </row>
    <row r="20" spans="1:32" ht="18" customHeight="1">
      <c r="A20" s="2244" t="s">
        <v>20</v>
      </c>
      <c r="B20" s="2287"/>
      <c r="C20" s="2244"/>
      <c r="D20" s="612">
        <f>+'Exhibit A'!D19</f>
        <v>0.2</v>
      </c>
      <c r="E20" s="9"/>
      <c r="F20" s="9">
        <f>+'Exhibit A'!F19</f>
        <v>0.2</v>
      </c>
      <c r="G20" s="9"/>
      <c r="H20" s="2367">
        <f>+'Exhibit G State'!D82</f>
        <v>0</v>
      </c>
      <c r="I20" s="9"/>
      <c r="J20" s="2368">
        <f>'Exhibit G State'!AD82</f>
        <v>0</v>
      </c>
      <c r="K20" s="9"/>
      <c r="L20" s="612">
        <f>+'Exhibit A'!L19</f>
        <v>0</v>
      </c>
      <c r="M20" s="10"/>
      <c r="N20" s="9">
        <f>+'Exhibit A'!N19</f>
        <v>0</v>
      </c>
      <c r="O20" s="17"/>
      <c r="P20" s="2372"/>
      <c r="Q20" s="2373"/>
      <c r="R20" s="10">
        <f t="shared" si="0"/>
        <v>0.2</v>
      </c>
      <c r="S20" s="17"/>
      <c r="T20" s="2371">
        <f t="shared" si="1"/>
        <v>0.2</v>
      </c>
      <c r="U20" s="22"/>
      <c r="V20" s="22"/>
      <c r="W20" s="2374"/>
      <c r="X20" s="2375"/>
      <c r="Y20" s="22">
        <v>0</v>
      </c>
      <c r="Z20" s="22" t="s">
        <v>14</v>
      </c>
      <c r="AA20" s="22">
        <f>+'Exhibit F'!AF94+'Exhibit G State'!AG82+'Exhibit H'!AD49</f>
        <v>0</v>
      </c>
      <c r="AB20" s="2254"/>
      <c r="AC20" s="2357"/>
      <c r="AD20" s="22">
        <f t="shared" si="2"/>
        <v>0.2</v>
      </c>
      <c r="AE20" s="2226"/>
      <c r="AF20" s="1458">
        <f>ROUND(IF(AA20=0,1,AD20/ABS(AA20)),3)</f>
        <v>1</v>
      </c>
    </row>
    <row r="21" spans="1:32" ht="18" customHeight="1">
      <c r="A21" s="2243" t="s">
        <v>21</v>
      </c>
      <c r="B21" s="2244"/>
      <c r="C21" s="2244"/>
      <c r="D21" s="12">
        <f>ROUND(SUM(D15:D20),1)</f>
        <v>4637.5</v>
      </c>
      <c r="E21" s="1358"/>
      <c r="F21" s="11">
        <f>ROUND(SUM(F15:F20),1)</f>
        <v>4637.5</v>
      </c>
      <c r="G21" s="1358"/>
      <c r="H21" s="12">
        <f>ROUND(SUM(H15:H20),1)</f>
        <v>1705.8</v>
      </c>
      <c r="I21" s="1358"/>
      <c r="J21" s="12">
        <f>ROUND(SUM(J15:J20),1)</f>
        <v>1705.8</v>
      </c>
      <c r="K21" s="1358"/>
      <c r="L21" s="12">
        <f>ROUND(SUM(L15:L20),1)</f>
        <v>4299</v>
      </c>
      <c r="M21" s="1358"/>
      <c r="N21" s="12">
        <f>ROUND(SUM(N15:N20),1)</f>
        <v>4299</v>
      </c>
      <c r="O21" s="2275"/>
      <c r="P21" s="2376"/>
      <c r="Q21" s="2377"/>
      <c r="R21" s="12">
        <f>ROUND(SUM(R15:R20),1)</f>
        <v>10642.3</v>
      </c>
      <c r="S21" s="2275"/>
      <c r="T21" s="12">
        <f>ROUND(SUM(T15:T20),1)</f>
        <v>10642.3</v>
      </c>
      <c r="U21" s="1471"/>
      <c r="V21" s="1471"/>
      <c r="W21" s="2305"/>
      <c r="X21" s="1471"/>
      <c r="Y21" s="1551">
        <f>ROUND(SUM(Y15:Y20),1)</f>
        <v>5015.1000000000004</v>
      </c>
      <c r="Z21" s="23"/>
      <c r="AA21" s="1551">
        <f>ROUND(SUM(AA15:AA20),1)</f>
        <v>5015.1000000000004</v>
      </c>
      <c r="AB21" s="2306"/>
      <c r="AC21" s="2378"/>
      <c r="AD21" s="1551">
        <f>ROUND(SUM(AD15:AD20),1)</f>
        <v>5627.2</v>
      </c>
      <c r="AE21" s="2278"/>
      <c r="AF21" s="1435">
        <f t="shared" si="3"/>
        <v>1.1220000000000001</v>
      </c>
    </row>
    <row r="22" spans="1:32" ht="16.399999999999999" customHeight="1">
      <c r="A22" s="2243"/>
      <c r="B22" s="2244"/>
      <c r="C22" s="2244"/>
      <c r="D22" s="613"/>
      <c r="E22" s="9"/>
      <c r="F22" s="14"/>
      <c r="G22" s="9"/>
      <c r="H22" s="613"/>
      <c r="I22" s="9"/>
      <c r="J22" s="14"/>
      <c r="K22" s="9"/>
      <c r="L22" s="613"/>
      <c r="M22" s="9"/>
      <c r="N22" s="14"/>
      <c r="O22" s="14"/>
      <c r="P22" s="2369"/>
      <c r="Q22" s="2370"/>
      <c r="R22" s="14"/>
      <c r="S22" s="14"/>
      <c r="T22" s="14"/>
      <c r="U22" s="1418"/>
      <c r="V22" s="1418"/>
      <c r="W22" s="2299"/>
      <c r="X22" s="1418"/>
      <c r="Y22" s="1418"/>
      <c r="Z22" s="22"/>
      <c r="AA22" s="1418"/>
      <c r="AB22" s="2254"/>
      <c r="AC22" s="2357"/>
      <c r="AD22" s="1418"/>
      <c r="AE22" s="2226"/>
      <c r="AF22" s="1422"/>
    </row>
    <row r="23" spans="1:32" ht="16.399999999999999" customHeight="1">
      <c r="A23" s="2243" t="s">
        <v>22</v>
      </c>
      <c r="B23" s="2244"/>
      <c r="C23" s="2244"/>
      <c r="D23" s="612"/>
      <c r="E23" s="9"/>
      <c r="F23" s="9"/>
      <c r="G23" s="9"/>
      <c r="H23" s="612"/>
      <c r="I23" s="9"/>
      <c r="J23" s="9"/>
      <c r="K23" s="9"/>
      <c r="L23" s="612"/>
      <c r="M23" s="9"/>
      <c r="N23" s="9"/>
      <c r="O23" s="14"/>
      <c r="P23" s="2369"/>
      <c r="Q23" s="2370"/>
      <c r="R23" s="9"/>
      <c r="S23" s="9"/>
      <c r="T23" s="9"/>
      <c r="U23" s="22"/>
      <c r="V23" s="22"/>
      <c r="W23" s="2299"/>
      <c r="X23" s="22"/>
      <c r="Y23" s="22"/>
      <c r="Z23" s="22"/>
      <c r="AA23" s="22"/>
      <c r="AB23" s="2254"/>
      <c r="AC23" s="2357"/>
      <c r="AD23" s="22"/>
      <c r="AE23" s="2226"/>
      <c r="AF23" s="1422"/>
    </row>
    <row r="24" spans="1:32" ht="16.399999999999999" customHeight="1">
      <c r="A24" s="2244" t="s">
        <v>23</v>
      </c>
      <c r="B24" s="2379" t="s">
        <v>14</v>
      </c>
      <c r="C24" s="2244"/>
      <c r="D24" s="614"/>
      <c r="E24" s="10"/>
      <c r="F24" s="15"/>
      <c r="G24" s="9"/>
      <c r="H24" s="614"/>
      <c r="I24" s="10"/>
      <c r="J24" s="15"/>
      <c r="K24" s="9"/>
      <c r="L24" s="614"/>
      <c r="M24" s="9"/>
      <c r="N24" s="10"/>
      <c r="O24" s="14"/>
      <c r="P24" s="2369"/>
      <c r="Q24" s="2370"/>
      <c r="R24" s="10"/>
      <c r="S24" s="10"/>
      <c r="T24" s="10"/>
      <c r="U24" s="22"/>
      <c r="V24" s="22"/>
      <c r="W24" s="2299"/>
      <c r="X24" s="21"/>
      <c r="Y24" s="22"/>
      <c r="Z24" s="22"/>
      <c r="AA24" s="22"/>
      <c r="AB24" s="2254"/>
      <c r="AC24" s="2357"/>
      <c r="AD24" s="2380"/>
      <c r="AE24" s="2226"/>
      <c r="AF24" s="2281"/>
    </row>
    <row r="25" spans="1:32" ht="18" customHeight="1">
      <c r="A25" s="2282" t="s">
        <v>24</v>
      </c>
      <c r="B25" s="2244"/>
      <c r="C25" s="2244"/>
      <c r="D25" s="1359">
        <f>+'Exhibit A'!D24</f>
        <v>523.4</v>
      </c>
      <c r="E25" s="9"/>
      <c r="F25" s="2381">
        <f>+'Exhibit A'!F24</f>
        <v>523.4</v>
      </c>
      <c r="G25" s="9"/>
      <c r="H25" s="1359">
        <f>+'Exhibit G State'!D88</f>
        <v>0.9</v>
      </c>
      <c r="I25" s="9"/>
      <c r="J25" s="2381">
        <f>+'Exhibit G State'!AD88</f>
        <v>0.9</v>
      </c>
      <c r="K25" s="9"/>
      <c r="L25" s="614">
        <f>+'Exhibit A'!L24</f>
        <v>0</v>
      </c>
      <c r="M25" s="9"/>
      <c r="N25" s="10">
        <f>+'Exhibit A'!N24</f>
        <v>0</v>
      </c>
      <c r="O25" s="17"/>
      <c r="P25" s="2372"/>
      <c r="Q25" s="2373"/>
      <c r="R25" s="2371">
        <f>ROUND(SUM(D25+H25+L25),1)</f>
        <v>524.29999999999995</v>
      </c>
      <c r="S25" s="2371"/>
      <c r="T25" s="2371">
        <f>ROUND(SUM(F25+J25+N25),1)</f>
        <v>524.29999999999995</v>
      </c>
      <c r="U25" s="22"/>
      <c r="V25" s="22"/>
      <c r="W25" s="2374"/>
      <c r="X25" s="21"/>
      <c r="Y25" s="22">
        <v>754.3</v>
      </c>
      <c r="Z25" s="22" t="s">
        <v>14</v>
      </c>
      <c r="AA25" s="22">
        <f>+'Exhibit F'!AF100+'Exhibit G State'!AG88</f>
        <v>754.30000000000007</v>
      </c>
      <c r="AB25" s="2254"/>
      <c r="AC25" s="2357"/>
      <c r="AD25" s="22">
        <f>ROUND(SUM(T25-AA25),1)</f>
        <v>-230</v>
      </c>
      <c r="AE25" s="2226"/>
      <c r="AF25" s="1419">
        <f>ROUND(+AD25/AA25,3)</f>
        <v>-0.30499999999999999</v>
      </c>
    </row>
    <row r="26" spans="1:32" ht="18" customHeight="1">
      <c r="A26" s="2282" t="s">
        <v>25</v>
      </c>
      <c r="B26" s="2285"/>
      <c r="C26" s="2244"/>
      <c r="D26" s="1359">
        <f>+'Exhibit A'!D25</f>
        <v>0</v>
      </c>
      <c r="E26" s="9"/>
      <c r="F26" s="2381">
        <f>+'Exhibit A'!F25</f>
        <v>0</v>
      </c>
      <c r="G26" s="9"/>
      <c r="H26" s="1359">
        <f>+'Exhibit G State'!D89</f>
        <v>0.1</v>
      </c>
      <c r="I26" s="2371"/>
      <c r="J26" s="2381">
        <f>+'Exhibit G State'!AD89</f>
        <v>0.1</v>
      </c>
      <c r="K26" s="9"/>
      <c r="L26" s="614">
        <f>+'Exhibit A'!L25</f>
        <v>0</v>
      </c>
      <c r="M26" s="9"/>
      <c r="N26" s="10">
        <f>+'Exhibit A'!N25</f>
        <v>0</v>
      </c>
      <c r="O26" s="17"/>
      <c r="P26" s="2372"/>
      <c r="Q26" s="2373"/>
      <c r="R26" s="2371">
        <f t="shared" ref="R26:R33" si="4">ROUND(SUM(D26+H26+L26),1)</f>
        <v>0.1</v>
      </c>
      <c r="S26" s="2371"/>
      <c r="T26" s="2371">
        <f t="shared" ref="T26:T33" si="5">ROUND(SUM(F26+J26+N26),1)</f>
        <v>0.1</v>
      </c>
      <c r="U26" s="22"/>
      <c r="V26" s="22"/>
      <c r="W26" s="2374"/>
      <c r="X26" s="21"/>
      <c r="Y26" s="22">
        <v>0.1</v>
      </c>
      <c r="Z26" s="22" t="s">
        <v>14</v>
      </c>
      <c r="AA26" s="22">
        <f>+'Exhibit F'!AF101+'Exhibit G State'!AG89</f>
        <v>0.1</v>
      </c>
      <c r="AB26" s="2254"/>
      <c r="AC26" s="2357"/>
      <c r="AD26" s="22">
        <f>ROUND(SUM(T26-AA26),1)</f>
        <v>0</v>
      </c>
      <c r="AE26" s="2226"/>
      <c r="AF26" s="1419">
        <f>ROUND(IF(AA26=0,1,AD26/ABS(AA26)),3)</f>
        <v>0</v>
      </c>
    </row>
    <row r="27" spans="1:32" ht="18" customHeight="1">
      <c r="A27" s="2282" t="s">
        <v>26</v>
      </c>
      <c r="B27" s="2286"/>
      <c r="C27" s="2244"/>
      <c r="D27" s="1359">
        <f>+'Exhibit A'!D26</f>
        <v>2.9</v>
      </c>
      <c r="E27" s="9"/>
      <c r="F27" s="2381">
        <f>+'Exhibit A'!F26</f>
        <v>2.9</v>
      </c>
      <c r="G27" s="9"/>
      <c r="H27" s="1359">
        <f>+'Exhibit G State'!D90</f>
        <v>10.1</v>
      </c>
      <c r="I27" s="9"/>
      <c r="J27" s="2381">
        <f>+'Exhibit G State'!AD90</f>
        <v>10.1</v>
      </c>
      <c r="K27" s="9"/>
      <c r="L27" s="614">
        <f>+'Exhibit A'!L26</f>
        <v>0</v>
      </c>
      <c r="M27" s="9"/>
      <c r="N27" s="10">
        <f>+'Exhibit A'!N26</f>
        <v>0</v>
      </c>
      <c r="O27" s="17"/>
      <c r="P27" s="2372"/>
      <c r="Q27" s="2373"/>
      <c r="R27" s="2371">
        <f t="shared" si="4"/>
        <v>13</v>
      </c>
      <c r="S27" s="2371"/>
      <c r="T27" s="2371">
        <f t="shared" si="5"/>
        <v>13</v>
      </c>
      <c r="U27" s="22"/>
      <c r="V27" s="22"/>
      <c r="W27" s="2374"/>
      <c r="X27" s="21"/>
      <c r="Y27" s="22">
        <v>16.100000000000001</v>
      </c>
      <c r="Z27" s="22" t="s">
        <v>14</v>
      </c>
      <c r="AA27" s="22">
        <f>+'Exhibit F'!AF102+'Exhibit G State'!AG90</f>
        <v>16.100000000000001</v>
      </c>
      <c r="AB27" s="2254"/>
      <c r="AC27" s="2357"/>
      <c r="AD27" s="22">
        <f>ROUND(SUM(T27-AA27),1)</f>
        <v>-3.1</v>
      </c>
      <c r="AE27" s="2226"/>
      <c r="AF27" s="1419">
        <f>ROUND(+AD27/AA27,3)</f>
        <v>-0.193</v>
      </c>
    </row>
    <row r="28" spans="1:32" ht="18" customHeight="1">
      <c r="A28" s="2282" t="s">
        <v>27</v>
      </c>
      <c r="B28" s="2286"/>
      <c r="C28" s="2244"/>
      <c r="D28" s="1359"/>
      <c r="E28" s="9"/>
      <c r="F28" s="2381"/>
      <c r="G28" s="9"/>
      <c r="H28" s="1359"/>
      <c r="I28" s="9"/>
      <c r="J28" s="2381"/>
      <c r="K28" s="9"/>
      <c r="L28" s="614"/>
      <c r="M28" s="9"/>
      <c r="N28" s="10"/>
      <c r="O28" s="17"/>
      <c r="P28" s="2372"/>
      <c r="Q28" s="2373"/>
      <c r="R28" s="1414" t="s">
        <v>14</v>
      </c>
      <c r="S28" s="2371"/>
      <c r="T28" s="1414" t="s">
        <v>14</v>
      </c>
      <c r="U28" s="22"/>
      <c r="V28" s="22"/>
      <c r="W28" s="2374"/>
      <c r="X28" s="21"/>
      <c r="Y28" s="617"/>
      <c r="Z28" s="22" t="s">
        <v>14</v>
      </c>
      <c r="AA28" s="617" t="s">
        <v>14</v>
      </c>
      <c r="AB28" s="2254"/>
      <c r="AC28" s="2357"/>
      <c r="AD28" s="22"/>
      <c r="AE28" s="2226"/>
      <c r="AF28" s="1419"/>
    </row>
    <row r="29" spans="1:32" ht="18" customHeight="1">
      <c r="A29" s="2382" t="s">
        <v>28</v>
      </c>
      <c r="B29" s="2287"/>
      <c r="C29" s="2244"/>
      <c r="D29" s="1359">
        <f>+'Exhibit A'!D28</f>
        <v>2741</v>
      </c>
      <c r="E29" s="9"/>
      <c r="F29" s="2381">
        <f>+'Exhibit A'!F28</f>
        <v>2741</v>
      </c>
      <c r="G29" s="9"/>
      <c r="H29" s="1359">
        <f>+'Exhibit G State'!D92</f>
        <v>386.9</v>
      </c>
      <c r="I29" s="9"/>
      <c r="J29" s="2381">
        <f>+'Exhibit G State'!AD92</f>
        <v>386.9</v>
      </c>
      <c r="K29" s="9"/>
      <c r="L29" s="614">
        <f>+'Exhibit A'!L28</f>
        <v>0</v>
      </c>
      <c r="M29" s="9"/>
      <c r="N29" s="10">
        <f>+'Exhibit A'!N28</f>
        <v>0</v>
      </c>
      <c r="O29" s="17"/>
      <c r="P29" s="2372"/>
      <c r="Q29" s="2373"/>
      <c r="R29" s="2371">
        <f t="shared" si="4"/>
        <v>3127.9</v>
      </c>
      <c r="S29" s="2371"/>
      <c r="T29" s="2371">
        <f t="shared" si="5"/>
        <v>3127.9</v>
      </c>
      <c r="U29" s="22"/>
      <c r="V29" s="22"/>
      <c r="W29" s="2374"/>
      <c r="X29" s="21"/>
      <c r="Y29" s="22">
        <v>757.7</v>
      </c>
      <c r="Z29" s="22" t="s">
        <v>14</v>
      </c>
      <c r="AA29" s="22">
        <f>+'Exhibit F'!AF104+'Exhibit G State'!AG92</f>
        <v>757.69999999999993</v>
      </c>
      <c r="AB29" s="2254"/>
      <c r="AC29" s="2357"/>
      <c r="AD29" s="22">
        <f t="shared" ref="AD29:AD34" si="6">ROUND(SUM(T29-AA29),1)</f>
        <v>2370.1999999999998</v>
      </c>
      <c r="AE29" s="2226"/>
      <c r="AF29" s="1419">
        <f t="shared" ref="AF29:AF34" si="7">ROUND(+AD29/AA29,3)</f>
        <v>3.1280000000000001</v>
      </c>
    </row>
    <row r="30" spans="1:32" ht="18" customHeight="1">
      <c r="A30" s="2282" t="s">
        <v>29</v>
      </c>
      <c r="B30" s="2286"/>
      <c r="C30" s="2244"/>
      <c r="D30" s="1359">
        <f>+'Exhibit A'!D29</f>
        <v>47.9</v>
      </c>
      <c r="E30" s="9"/>
      <c r="F30" s="2381">
        <f>+'Exhibit A'!F29</f>
        <v>47.9</v>
      </c>
      <c r="G30" s="9"/>
      <c r="H30" s="1359">
        <f>+'Exhibit G State'!D93</f>
        <v>37.299999999999997</v>
      </c>
      <c r="I30" s="9"/>
      <c r="J30" s="2381">
        <f>+'Exhibit G State'!AD93</f>
        <v>37.299999999999997</v>
      </c>
      <c r="K30" s="9"/>
      <c r="L30" s="614">
        <f>+'Exhibit A'!L29</f>
        <v>0</v>
      </c>
      <c r="M30" s="9"/>
      <c r="N30" s="10">
        <f>+'Exhibit A'!N29</f>
        <v>0</v>
      </c>
      <c r="O30" s="17"/>
      <c r="P30" s="2372"/>
      <c r="Q30" s="2373"/>
      <c r="R30" s="2371">
        <f t="shared" si="4"/>
        <v>85.2</v>
      </c>
      <c r="S30" s="2371"/>
      <c r="T30" s="2371">
        <f t="shared" si="5"/>
        <v>85.2</v>
      </c>
      <c r="U30" s="22"/>
      <c r="V30" s="22"/>
      <c r="W30" s="2374"/>
      <c r="X30" s="21"/>
      <c r="Y30" s="22">
        <v>93.5</v>
      </c>
      <c r="Z30" s="22" t="s">
        <v>14</v>
      </c>
      <c r="AA30" s="22">
        <f>+'Exhibit F'!AF105+'Exhibit G State'!AG93</f>
        <v>93.5</v>
      </c>
      <c r="AB30" s="2254"/>
      <c r="AC30" s="2357"/>
      <c r="AD30" s="22">
        <f t="shared" si="6"/>
        <v>-8.3000000000000007</v>
      </c>
      <c r="AE30" s="2226"/>
      <c r="AF30" s="1419">
        <f t="shared" si="7"/>
        <v>-8.8999999999999996E-2</v>
      </c>
    </row>
    <row r="31" spans="1:32" ht="18" customHeight="1">
      <c r="A31" s="2282" t="s">
        <v>30</v>
      </c>
      <c r="B31" s="2244"/>
      <c r="C31" s="2244"/>
      <c r="D31" s="1359">
        <f>+'Exhibit A'!D30</f>
        <v>4.5</v>
      </c>
      <c r="E31" s="9"/>
      <c r="F31" s="2381">
        <f>+'Exhibit A'!F30</f>
        <v>4.5</v>
      </c>
      <c r="G31" s="9"/>
      <c r="H31" s="1359">
        <f>+'Exhibit G State'!D94</f>
        <v>19.3</v>
      </c>
      <c r="I31" s="9"/>
      <c r="J31" s="2381">
        <f>+'Exhibit G State'!AD94</f>
        <v>19.3</v>
      </c>
      <c r="K31" s="9"/>
      <c r="L31" s="614">
        <f>+'Exhibit A'!L30</f>
        <v>0</v>
      </c>
      <c r="M31" s="9"/>
      <c r="N31" s="10">
        <f>+'Exhibit A'!N30</f>
        <v>0</v>
      </c>
      <c r="O31" s="17"/>
      <c r="P31" s="2372"/>
      <c r="Q31" s="2373"/>
      <c r="R31" s="2371">
        <f t="shared" si="4"/>
        <v>23.8</v>
      </c>
      <c r="S31" s="2371"/>
      <c r="T31" s="2371">
        <f t="shared" si="5"/>
        <v>23.8</v>
      </c>
      <c r="U31" s="22"/>
      <c r="V31" s="22"/>
      <c r="W31" s="2374"/>
      <c r="X31" s="21"/>
      <c r="Y31" s="22">
        <v>20.9</v>
      </c>
      <c r="Z31" s="22" t="s">
        <v>14</v>
      </c>
      <c r="AA31" s="22">
        <f>+'Exhibit F'!AF106+'Exhibit G State'!AG94</f>
        <v>20.9</v>
      </c>
      <c r="AB31" s="2254"/>
      <c r="AC31" s="2357"/>
      <c r="AD31" s="22">
        <f t="shared" si="6"/>
        <v>2.9</v>
      </c>
      <c r="AE31" s="2226"/>
      <c r="AF31" s="1419">
        <f t="shared" si="7"/>
        <v>0.13900000000000001</v>
      </c>
    </row>
    <row r="32" spans="1:32" ht="18" customHeight="1">
      <c r="A32" s="2282" t="s">
        <v>31</v>
      </c>
      <c r="B32" s="2244"/>
      <c r="C32" s="2244"/>
      <c r="D32" s="1359">
        <f>+'Exhibit A'!D31</f>
        <v>43.3</v>
      </c>
      <c r="E32" s="9"/>
      <c r="F32" s="2381">
        <f>+'Exhibit A'!F31</f>
        <v>43.3</v>
      </c>
      <c r="G32" s="9"/>
      <c r="H32" s="1359">
        <f>+'Exhibit G State'!D95</f>
        <v>0.2</v>
      </c>
      <c r="I32" s="9"/>
      <c r="J32" s="2381">
        <f>+'Exhibit G State'!AD95</f>
        <v>0.2</v>
      </c>
      <c r="K32" s="9"/>
      <c r="L32" s="614">
        <f>+'Exhibit A'!L31</f>
        <v>0</v>
      </c>
      <c r="M32" s="9"/>
      <c r="N32" s="10">
        <f>+'Exhibit A'!N31</f>
        <v>0</v>
      </c>
      <c r="O32" s="17"/>
      <c r="P32" s="2372"/>
      <c r="Q32" s="2373"/>
      <c r="R32" s="2371">
        <f t="shared" si="4"/>
        <v>43.5</v>
      </c>
      <c r="S32" s="2371"/>
      <c r="T32" s="2371">
        <f t="shared" si="5"/>
        <v>43.5</v>
      </c>
      <c r="U32" s="22"/>
      <c r="V32" s="22"/>
      <c r="W32" s="2374"/>
      <c r="X32" s="21"/>
      <c r="Y32" s="22">
        <v>77</v>
      </c>
      <c r="Z32" s="22" t="s">
        <v>14</v>
      </c>
      <c r="AA32" s="617">
        <f>+'Exhibit F'!AF107+'Exhibit G State'!AG95</f>
        <v>77</v>
      </c>
      <c r="AB32" s="2254"/>
      <c r="AC32" s="2357"/>
      <c r="AD32" s="22">
        <f t="shared" si="6"/>
        <v>-33.5</v>
      </c>
      <c r="AE32" s="2226"/>
      <c r="AF32" s="1419">
        <f t="shared" si="7"/>
        <v>-0.435</v>
      </c>
    </row>
    <row r="33" spans="1:32" ht="18" customHeight="1">
      <c r="A33" s="2282" t="s">
        <v>32</v>
      </c>
      <c r="B33" s="2244"/>
      <c r="C33" s="2244"/>
      <c r="D33" s="1359">
        <f>+'Exhibit A'!D32</f>
        <v>5</v>
      </c>
      <c r="E33" s="9"/>
      <c r="F33" s="2381">
        <f>+'Exhibit A'!F32</f>
        <v>5</v>
      </c>
      <c r="G33" s="9"/>
      <c r="H33" s="1359">
        <f>+'Exhibit G State'!D96</f>
        <v>0.3</v>
      </c>
      <c r="I33" s="9"/>
      <c r="J33" s="2381">
        <f>+'Exhibit G State'!AD96</f>
        <v>0.3</v>
      </c>
      <c r="K33" s="9"/>
      <c r="L33" s="614">
        <f>+'Exhibit A'!L32</f>
        <v>0</v>
      </c>
      <c r="M33" s="9"/>
      <c r="N33" s="10">
        <f>+'Exhibit A'!N32</f>
        <v>0</v>
      </c>
      <c r="O33" s="17"/>
      <c r="P33" s="2372"/>
      <c r="Q33" s="2373"/>
      <c r="R33" s="2371">
        <f t="shared" si="4"/>
        <v>5.3</v>
      </c>
      <c r="S33" s="2371"/>
      <c r="T33" s="2371">
        <f t="shared" si="5"/>
        <v>5.3</v>
      </c>
      <c r="U33" s="22"/>
      <c r="V33" s="22"/>
      <c r="W33" s="2374"/>
      <c r="X33" s="21"/>
      <c r="Y33" s="22">
        <v>4.6000000000000005</v>
      </c>
      <c r="Z33" s="22" t="s">
        <v>14</v>
      </c>
      <c r="AA33" s="617">
        <f>+'Exhibit F'!AF108+'Exhibit G State'!AG96</f>
        <v>4.6000000000000005</v>
      </c>
      <c r="AB33" s="2254"/>
      <c r="AC33" s="2357"/>
      <c r="AD33" s="22">
        <f t="shared" si="6"/>
        <v>0.7</v>
      </c>
      <c r="AE33" s="2226"/>
      <c r="AF33" s="1419">
        <f t="shared" si="7"/>
        <v>0.152</v>
      </c>
    </row>
    <row r="34" spans="1:32" ht="18" customHeight="1">
      <c r="A34" s="2282" t="s">
        <v>33</v>
      </c>
      <c r="B34" s="2244"/>
      <c r="C34" s="2244"/>
      <c r="D34" s="1359">
        <f>+'Exhibit A'!D33</f>
        <v>9.5</v>
      </c>
      <c r="E34" s="9"/>
      <c r="F34" s="2381">
        <f>+'Exhibit A'!F33</f>
        <v>9.5</v>
      </c>
      <c r="G34" s="9"/>
      <c r="H34" s="1359">
        <f>+'Exhibit G State'!D97</f>
        <v>199</v>
      </c>
      <c r="I34" s="9"/>
      <c r="J34" s="2381">
        <f>+'Exhibit G State'!AD97</f>
        <v>199</v>
      </c>
      <c r="K34" s="9"/>
      <c r="L34" s="614">
        <f>+'Exhibit A'!L33</f>
        <v>0</v>
      </c>
      <c r="M34" s="9"/>
      <c r="N34" s="10">
        <f>+'Exhibit A'!N33</f>
        <v>0</v>
      </c>
      <c r="O34" s="17"/>
      <c r="P34" s="2372"/>
      <c r="Q34" s="2373"/>
      <c r="R34" s="2383">
        <f>ROUND(SUM(D34+H34+L34),1)</f>
        <v>208.5</v>
      </c>
      <c r="S34" s="2371"/>
      <c r="T34" s="2383">
        <f>ROUND(SUM(F34+J34+N34),1)</f>
        <v>208.5</v>
      </c>
      <c r="U34" s="22"/>
      <c r="V34" s="22"/>
      <c r="W34" s="2374"/>
      <c r="X34" s="21"/>
      <c r="Y34" s="22">
        <v>61.7</v>
      </c>
      <c r="Z34" s="22" t="s">
        <v>14</v>
      </c>
      <c r="AA34" s="1418">
        <f>+'Exhibit F'!AF109+'Exhibit G State'!AG97</f>
        <v>61.7</v>
      </c>
      <c r="AB34" s="2254"/>
      <c r="AC34" s="2357"/>
      <c r="AD34" s="22">
        <f t="shared" si="6"/>
        <v>146.80000000000001</v>
      </c>
      <c r="AE34" s="2226"/>
      <c r="AF34" s="1419">
        <f t="shared" si="7"/>
        <v>2.379</v>
      </c>
    </row>
    <row r="35" spans="1:32" ht="18" customHeight="1">
      <c r="A35" s="2243" t="s">
        <v>34</v>
      </c>
      <c r="B35" s="2244"/>
      <c r="C35" s="2244"/>
      <c r="D35" s="12">
        <f>ROUND(SUM(D25:D34),1)</f>
        <v>3377.5</v>
      </c>
      <c r="E35" s="1358"/>
      <c r="F35" s="12">
        <f>ROUND(SUM(F25:F34),1)</f>
        <v>3377.5</v>
      </c>
      <c r="G35" s="1358"/>
      <c r="H35" s="12">
        <f>ROUND(SUM(H25:H34),1)</f>
        <v>654.1</v>
      </c>
      <c r="I35" s="1358"/>
      <c r="J35" s="12">
        <f>ROUND(SUM(J25:J34),1)</f>
        <v>654.1</v>
      </c>
      <c r="K35" s="1358"/>
      <c r="L35" s="2384">
        <f>ROUND(SUM(L25:L34),1)</f>
        <v>0</v>
      </c>
      <c r="M35" s="1358"/>
      <c r="N35" s="1416">
        <f>ROUND(SUM(N25:N34),1)</f>
        <v>0</v>
      </c>
      <c r="O35" s="2385"/>
      <c r="P35" s="2386"/>
      <c r="Q35" s="2387"/>
      <c r="R35" s="12">
        <f>ROUND(SUM(R25:R34),1)</f>
        <v>4031.6</v>
      </c>
      <c r="S35" s="2385"/>
      <c r="T35" s="12">
        <f>ROUND(SUM(T25:T34),1)</f>
        <v>4031.6</v>
      </c>
      <c r="U35" s="1471"/>
      <c r="V35" s="1471"/>
      <c r="W35" s="2388"/>
      <c r="X35" s="2389"/>
      <c r="Y35" s="1551">
        <f>ROUND(SUM(Y25:Y34),1)</f>
        <v>1785.9</v>
      </c>
      <c r="Z35" s="23"/>
      <c r="AA35" s="1551">
        <f>ROUND(SUM(AA25:AA34),1)</f>
        <v>1785.9</v>
      </c>
      <c r="AB35" s="2306"/>
      <c r="AC35" s="2378"/>
      <c r="AD35" s="1551">
        <f>ROUND(SUM(AD25:AD34),1)</f>
        <v>2245.6999999999998</v>
      </c>
      <c r="AE35" s="2278"/>
      <c r="AF35" s="1435">
        <f>ROUND(+AD35/AA35,3)</f>
        <v>1.2569999999999999</v>
      </c>
    </row>
    <row r="36" spans="1:32" ht="18" customHeight="1">
      <c r="A36" s="2244" t="s">
        <v>35</v>
      </c>
      <c r="B36" s="2286"/>
      <c r="C36" s="2244"/>
      <c r="D36" s="612"/>
      <c r="E36" s="9"/>
      <c r="F36" s="9"/>
      <c r="G36" s="9"/>
      <c r="H36" s="612"/>
      <c r="I36" s="9"/>
      <c r="J36" s="9"/>
      <c r="K36" s="9"/>
      <c r="L36" s="612"/>
      <c r="M36" s="9"/>
      <c r="N36" s="9"/>
      <c r="O36" s="14"/>
      <c r="P36" s="2369"/>
      <c r="Q36" s="2370"/>
      <c r="R36" s="9"/>
      <c r="S36" s="9"/>
      <c r="T36" s="9"/>
      <c r="U36" s="22"/>
      <c r="V36" s="22"/>
      <c r="W36" s="2299"/>
      <c r="X36" s="22"/>
      <c r="Y36" s="22"/>
      <c r="Z36" s="22"/>
      <c r="AA36" s="22"/>
      <c r="AB36" s="2254"/>
      <c r="AC36" s="2357"/>
      <c r="AD36" s="22"/>
      <c r="AE36" s="2226"/>
      <c r="AF36" s="1422"/>
    </row>
    <row r="37" spans="1:32" ht="18" customHeight="1">
      <c r="A37" s="2244" t="s">
        <v>36</v>
      </c>
      <c r="B37" s="2285"/>
      <c r="C37" s="2244"/>
      <c r="D37" s="612">
        <f>+'Exhibit A'!D36</f>
        <v>707.6</v>
      </c>
      <c r="E37" s="9"/>
      <c r="F37" s="2381">
        <f>+'Exhibit A'!F36</f>
        <v>707.6</v>
      </c>
      <c r="G37" s="9"/>
      <c r="H37" s="612">
        <f>+'Exhibit G State'!D100</f>
        <v>399.6</v>
      </c>
      <c r="I37" s="9"/>
      <c r="J37" s="2381">
        <f>+'Exhibit G State'!AD100</f>
        <v>399.6</v>
      </c>
      <c r="K37" s="9"/>
      <c r="L37" s="615">
        <f>+'Exhibit A'!L36</f>
        <v>0</v>
      </c>
      <c r="M37" s="2371"/>
      <c r="N37" s="10">
        <f>+'Exhibit A'!N36</f>
        <v>0</v>
      </c>
      <c r="O37" s="17"/>
      <c r="P37" s="2372"/>
      <c r="Q37" s="2373"/>
      <c r="R37" s="2371">
        <f>ROUND(SUM(D37+H37+L37),1)</f>
        <v>1107.2</v>
      </c>
      <c r="S37" s="10"/>
      <c r="T37" s="9">
        <f>ROUND(SUM(F37+J37+N37),1)</f>
        <v>1107.2</v>
      </c>
      <c r="U37" s="22"/>
      <c r="V37" s="22"/>
      <c r="W37" s="2374"/>
      <c r="X37" s="21"/>
      <c r="Y37" s="22">
        <v>1494.8</v>
      </c>
      <c r="Z37" s="22" t="s">
        <v>14</v>
      </c>
      <c r="AA37" s="22">
        <f>+'Exhibit F'!AF112+'Exhibit G State'!AG100</f>
        <v>1494.8</v>
      </c>
      <c r="AB37" s="2254"/>
      <c r="AC37" s="2357"/>
      <c r="AD37" s="22">
        <f t="shared" ref="AD37:AD41" si="8">ROUND(SUM(T37-AA37),1)</f>
        <v>-387.6</v>
      </c>
      <c r="AE37" s="2226"/>
      <c r="AF37" s="1419">
        <f>ROUND(+AD37/AA37,3)</f>
        <v>-0.25900000000000001</v>
      </c>
    </row>
    <row r="38" spans="1:32" ht="18" customHeight="1">
      <c r="A38" s="2293" t="s">
        <v>37</v>
      </c>
      <c r="B38" s="3494"/>
      <c r="C38" s="2293"/>
      <c r="D38" s="617">
        <f>+'Exhibit A'!D37</f>
        <v>136.69999999999999</v>
      </c>
      <c r="E38" s="22"/>
      <c r="F38" s="3495">
        <f>+'Exhibit A'!F37</f>
        <v>136.69999999999999</v>
      </c>
      <c r="G38" s="22"/>
      <c r="H38" s="617">
        <f>+'Exhibit G State'!D101</f>
        <v>225.6</v>
      </c>
      <c r="I38" s="22"/>
      <c r="J38" s="3495">
        <f>+'Exhibit G State'!AD101</f>
        <v>225.6</v>
      </c>
      <c r="K38" s="22"/>
      <c r="L38" s="1412">
        <f>+'Exhibit A'!L37</f>
        <v>0.2</v>
      </c>
      <c r="M38" s="3374"/>
      <c r="N38" s="21">
        <f>+'Exhibit A'!N37</f>
        <v>0.2</v>
      </c>
      <c r="O38" s="1418"/>
      <c r="P38" s="2369"/>
      <c r="Q38" s="2391"/>
      <c r="R38" s="3374">
        <f>ROUND(SUM(D38+H38+L38),1)</f>
        <v>362.5</v>
      </c>
      <c r="S38" s="21"/>
      <c r="T38" s="22">
        <f>ROUND(SUM(F38+J38+N38),1)</f>
        <v>362.5</v>
      </c>
      <c r="U38" s="22"/>
      <c r="V38" s="22"/>
      <c r="W38" s="2299"/>
      <c r="X38" s="22"/>
      <c r="Y38" s="22">
        <v>543.29999999999995</v>
      </c>
      <c r="Z38" s="22" t="s">
        <v>14</v>
      </c>
      <c r="AA38" s="22">
        <f>+'Exhibit F'!AF113+'Exhibit G State'!AG101+'Exhibit H'!AD55</f>
        <v>543.29999999999995</v>
      </c>
      <c r="AB38" s="2254"/>
      <c r="AC38" s="2357"/>
      <c r="AD38" s="22">
        <f t="shared" si="8"/>
        <v>-180.8</v>
      </c>
      <c r="AF38" s="1642">
        <f>ROUND(+AD38/AA38,3)</f>
        <v>-0.33300000000000002</v>
      </c>
    </row>
    <row r="39" spans="1:32" ht="18" customHeight="1">
      <c r="A39" s="2244" t="s">
        <v>38</v>
      </c>
      <c r="B39" s="2267"/>
      <c r="C39" s="2244"/>
      <c r="D39" s="612">
        <f>+'Exhibit A'!D38</f>
        <v>810.3</v>
      </c>
      <c r="E39" s="9"/>
      <c r="F39" s="2381">
        <f>+'Exhibit A'!F38</f>
        <v>810.3</v>
      </c>
      <c r="G39" s="9"/>
      <c r="H39" s="612">
        <f>+'Exhibit G State'!D102</f>
        <v>59.8</v>
      </c>
      <c r="I39" s="9"/>
      <c r="J39" s="2381">
        <f>+'Exhibit G State'!AD102</f>
        <v>59.8</v>
      </c>
      <c r="K39" s="9"/>
      <c r="L39" s="615">
        <f>+'Exhibit A'!L38</f>
        <v>0</v>
      </c>
      <c r="M39" s="9"/>
      <c r="N39" s="10">
        <f>+'Exhibit A'!N38</f>
        <v>0</v>
      </c>
      <c r="O39" s="17"/>
      <c r="P39" s="2372"/>
      <c r="Q39" s="2373"/>
      <c r="R39" s="2371">
        <f>ROUND(SUM(D39+H39+L39),1)</f>
        <v>870.1</v>
      </c>
      <c r="S39" s="10"/>
      <c r="T39" s="9">
        <f>ROUND(SUM(F39+J39+N39),1)</f>
        <v>870.1</v>
      </c>
      <c r="U39" s="22"/>
      <c r="V39" s="22"/>
      <c r="W39" s="2374"/>
      <c r="X39" s="21"/>
      <c r="Y39" s="22">
        <v>512.5</v>
      </c>
      <c r="Z39" s="22" t="s">
        <v>14</v>
      </c>
      <c r="AA39" s="22">
        <f>+'Exhibit F'!AF114+'Exhibit G State'!AG102</f>
        <v>512.5</v>
      </c>
      <c r="AB39" s="2254"/>
      <c r="AC39" s="2357"/>
      <c r="AD39" s="22">
        <f t="shared" si="8"/>
        <v>357.6</v>
      </c>
      <c r="AE39" s="2226"/>
      <c r="AF39" s="1419">
        <f>ROUND(+AD39/AA39,3)</f>
        <v>0.69799999999999995</v>
      </c>
    </row>
    <row r="40" spans="1:32" ht="18" customHeight="1">
      <c r="A40" s="2244" t="s">
        <v>39</v>
      </c>
      <c r="B40" s="2244"/>
      <c r="C40" s="2244"/>
      <c r="D40" s="612"/>
      <c r="E40" s="9"/>
      <c r="F40" s="9"/>
      <c r="G40" s="9"/>
      <c r="H40" s="612"/>
      <c r="I40" s="9"/>
      <c r="J40" s="9"/>
      <c r="K40" s="9"/>
      <c r="L40" s="612"/>
      <c r="M40" s="9"/>
      <c r="N40" s="9"/>
      <c r="O40" s="14"/>
      <c r="P40" s="2369"/>
      <c r="Q40" s="2370"/>
      <c r="R40" s="1414" t="s">
        <v>14</v>
      </c>
      <c r="S40" s="9"/>
      <c r="T40" s="612" t="s">
        <v>14</v>
      </c>
      <c r="U40" s="22"/>
      <c r="V40" s="22"/>
      <c r="W40" s="2299"/>
      <c r="X40" s="22"/>
      <c r="Y40" s="617"/>
      <c r="Z40" s="22"/>
      <c r="AA40" s="617" t="s">
        <v>14</v>
      </c>
      <c r="AB40" s="2254"/>
      <c r="AC40" s="2357"/>
      <c r="AD40" s="22"/>
      <c r="AE40" s="2226"/>
      <c r="AF40" s="1419"/>
    </row>
    <row r="41" spans="1:32" ht="18" customHeight="1">
      <c r="A41" s="2244" t="s">
        <v>40</v>
      </c>
      <c r="B41" s="2390"/>
      <c r="C41" s="2244"/>
      <c r="D41" s="615">
        <v>0</v>
      </c>
      <c r="E41" s="9"/>
      <c r="F41" s="10">
        <v>0</v>
      </c>
      <c r="G41" s="9"/>
      <c r="H41" s="615">
        <v>0</v>
      </c>
      <c r="I41" s="9"/>
      <c r="J41" s="10">
        <v>0</v>
      </c>
      <c r="K41" s="9"/>
      <c r="L41" s="615">
        <f>+'Exhibit A'!L40</f>
        <v>122.4</v>
      </c>
      <c r="M41" s="2371"/>
      <c r="N41" s="10">
        <f>+'Exhibit A'!N40</f>
        <v>122.4</v>
      </c>
      <c r="O41" s="14"/>
      <c r="P41" s="2369"/>
      <c r="Q41" s="2370"/>
      <c r="R41" s="2371">
        <f>ROUND(SUM(D41+H41+L41),1)</f>
        <v>122.4</v>
      </c>
      <c r="S41" s="9"/>
      <c r="T41" s="9">
        <f>ROUND(SUM(F41+J41+N41),1)</f>
        <v>122.4</v>
      </c>
      <c r="U41" s="22"/>
      <c r="V41" s="22"/>
      <c r="W41" s="2299"/>
      <c r="X41" s="22"/>
      <c r="Y41" s="22">
        <v>36.5</v>
      </c>
      <c r="Z41" s="22" t="s">
        <v>14</v>
      </c>
      <c r="AA41" s="22">
        <f>+'Exhibit H'!AD57</f>
        <v>36.5</v>
      </c>
      <c r="AB41" s="2254"/>
      <c r="AC41" s="2357"/>
      <c r="AD41" s="22">
        <f t="shared" si="8"/>
        <v>85.9</v>
      </c>
      <c r="AE41" s="2226"/>
      <c r="AF41" s="1419">
        <f>ROUND(+AD41/AA41,3)</f>
        <v>2.3530000000000002</v>
      </c>
    </row>
    <row r="42" spans="1:32" ht="18" customHeight="1">
      <c r="A42" s="2244" t="s">
        <v>41</v>
      </c>
      <c r="B42" s="2285"/>
      <c r="C42" s="2244"/>
      <c r="D42" s="615">
        <v>0</v>
      </c>
      <c r="E42" s="9"/>
      <c r="F42" s="10">
        <v>0</v>
      </c>
      <c r="G42" s="9"/>
      <c r="H42" s="615">
        <f>'Exhibit G State'!J103</f>
        <v>0</v>
      </c>
      <c r="I42" s="9"/>
      <c r="J42" s="615">
        <f>'Exhibit G State'!AD103</f>
        <v>0</v>
      </c>
      <c r="K42" s="9"/>
      <c r="L42" s="615">
        <v>0</v>
      </c>
      <c r="M42" s="2371"/>
      <c r="N42" s="10">
        <v>0</v>
      </c>
      <c r="O42" s="14"/>
      <c r="P42" s="2369"/>
      <c r="Q42" s="3536"/>
      <c r="R42" s="2371">
        <f>ROUND(SUM(D42+H42+L42),1)</f>
        <v>0</v>
      </c>
      <c r="S42" s="9"/>
      <c r="T42" s="9">
        <f>ROUND(SUM(F42+J42+N42),1)</f>
        <v>0</v>
      </c>
      <c r="U42" s="22"/>
      <c r="V42" s="22"/>
      <c r="W42" s="3537"/>
      <c r="X42" s="22"/>
      <c r="Y42" s="22">
        <v>0</v>
      </c>
      <c r="Z42" s="22"/>
      <c r="AA42" s="22">
        <f>'Exhibit G State'!AG103</f>
        <v>0</v>
      </c>
      <c r="AB42" s="2254"/>
      <c r="AC42" s="2357"/>
      <c r="AD42" s="22">
        <f>ROUND(SUM(T42-AA42),1)</f>
        <v>0</v>
      </c>
      <c r="AE42" s="2226"/>
      <c r="AF42" s="1419">
        <f>IF(AA42=0,0,AD42/AA42)</f>
        <v>0</v>
      </c>
    </row>
    <row r="43" spans="1:32" ht="18" customHeight="1">
      <c r="A43" s="2243" t="s">
        <v>56</v>
      </c>
      <c r="B43" s="2244"/>
      <c r="C43" s="2244"/>
      <c r="D43" s="12">
        <f>SUM(D35:D42)</f>
        <v>5032.1000000000004</v>
      </c>
      <c r="E43" s="1358"/>
      <c r="F43" s="12">
        <f>SUM(F35:F42)</f>
        <v>5032.1000000000004</v>
      </c>
      <c r="G43" s="1358"/>
      <c r="H43" s="12">
        <f>SUM(H35:H42)</f>
        <v>1339.1</v>
      </c>
      <c r="I43" s="1358"/>
      <c r="J43" s="12">
        <f>SUM(J35:J42)</f>
        <v>1339.1</v>
      </c>
      <c r="K43" s="1358"/>
      <c r="L43" s="12">
        <f>SUM(L35:L42)</f>
        <v>122.60000000000001</v>
      </c>
      <c r="M43" s="1358"/>
      <c r="N43" s="12">
        <f>SUM(N35:N42)</f>
        <v>122.60000000000001</v>
      </c>
      <c r="O43" s="2275"/>
      <c r="P43" s="2376"/>
      <c r="Q43" s="2377"/>
      <c r="R43" s="12">
        <f>ROUND(SUM(R35:R42),1)</f>
        <v>6493.8</v>
      </c>
      <c r="S43" s="2275"/>
      <c r="T43" s="12">
        <f>ROUND(SUM(T35:T42),1)</f>
        <v>6493.8</v>
      </c>
      <c r="U43" s="1471"/>
      <c r="V43" s="1471"/>
      <c r="W43" s="2305"/>
      <c r="X43" s="1471"/>
      <c r="Y43" s="1551">
        <f>ROUND(SUM(Y35:Y42),1)</f>
        <v>4373</v>
      </c>
      <c r="Z43" s="23"/>
      <c r="AA43" s="1551">
        <f>ROUND(SUM(AA35:AA42),1)</f>
        <v>4373</v>
      </c>
      <c r="AB43" s="2306"/>
      <c r="AC43" s="2378"/>
      <c r="AD43" s="1551">
        <f>ROUND(SUM(AD35:AD42),1)</f>
        <v>2120.8000000000002</v>
      </c>
      <c r="AE43" s="2278"/>
      <c r="AF43" s="1435">
        <f>ROUND(+AD43/AA43,3)</f>
        <v>0.48499999999999999</v>
      </c>
    </row>
    <row r="44" spans="1:32" ht="16.399999999999999" customHeight="1">
      <c r="A44" s="2243"/>
      <c r="B44" s="2244"/>
      <c r="C44" s="2244"/>
      <c r="D44" s="613"/>
      <c r="E44" s="9"/>
      <c r="F44" s="14"/>
      <c r="G44" s="9"/>
      <c r="H44" s="613"/>
      <c r="I44" s="9"/>
      <c r="J44" s="14"/>
      <c r="K44" s="9"/>
      <c r="L44" s="613"/>
      <c r="M44" s="9"/>
      <c r="N44" s="14"/>
      <c r="O44" s="14"/>
      <c r="P44" s="2369"/>
      <c r="Q44" s="2370"/>
      <c r="R44" s="14"/>
      <c r="S44" s="14"/>
      <c r="T44" s="14"/>
      <c r="U44" s="1418"/>
      <c r="V44" s="1418"/>
      <c r="W44" s="2299"/>
      <c r="X44" s="1418"/>
      <c r="Y44" s="1418"/>
      <c r="Z44" s="22"/>
      <c r="AA44" s="1418"/>
      <c r="AB44" s="2254"/>
      <c r="AC44" s="2357"/>
      <c r="AD44" s="1418"/>
      <c r="AE44" s="2226"/>
      <c r="AF44" s="1422"/>
    </row>
    <row r="45" spans="1:32" ht="16.399999999999999" customHeight="1">
      <c r="A45" s="2243" t="s">
        <v>43</v>
      </c>
      <c r="B45" s="2243"/>
      <c r="C45" s="2244"/>
      <c r="D45" s="612"/>
      <c r="E45" s="9"/>
      <c r="F45" s="9"/>
      <c r="G45" s="9"/>
      <c r="H45" s="612"/>
      <c r="I45" s="9"/>
      <c r="J45" s="9"/>
      <c r="K45" s="9"/>
      <c r="L45" s="612"/>
      <c r="M45" s="9"/>
      <c r="N45" s="9"/>
      <c r="O45" s="14"/>
      <c r="P45" s="2369"/>
      <c r="Q45" s="2370"/>
      <c r="R45" s="9"/>
      <c r="S45" s="9"/>
      <c r="T45" s="9"/>
      <c r="U45" s="22"/>
      <c r="V45" s="22"/>
      <c r="W45" s="2299"/>
      <c r="X45" s="22"/>
      <c r="Y45" s="22"/>
      <c r="Z45" s="22"/>
      <c r="AA45" s="22"/>
      <c r="AB45" s="2254"/>
      <c r="AC45" s="2357"/>
      <c r="AD45" s="22"/>
      <c r="AE45" s="2226"/>
      <c r="AF45" s="1422"/>
    </row>
    <row r="46" spans="1:32" ht="16.399999999999999" customHeight="1">
      <c r="A46" s="2243" t="s">
        <v>44</v>
      </c>
      <c r="B46" s="2243"/>
      <c r="C46" s="2244"/>
      <c r="D46" s="19">
        <f>ROUND(SUM(D21-D43),1)</f>
        <v>-394.6</v>
      </c>
      <c r="E46" s="1358"/>
      <c r="F46" s="19">
        <f>ROUND(SUM(F21-F43),1)</f>
        <v>-394.6</v>
      </c>
      <c r="G46" s="1358"/>
      <c r="H46" s="19">
        <f>ROUND(SUM(H21-H43),1)</f>
        <v>366.7</v>
      </c>
      <c r="I46" s="1358"/>
      <c r="J46" s="19">
        <f>ROUND(SUM(J21-J43),1)</f>
        <v>366.7</v>
      </c>
      <c r="K46" s="1358"/>
      <c r="L46" s="19">
        <f>ROUND(SUM(L21-L43),1)</f>
        <v>4176.3999999999996</v>
      </c>
      <c r="M46" s="1358" t="s">
        <v>14</v>
      </c>
      <c r="N46" s="19">
        <f>ROUND(SUM(N21-N43),1)</f>
        <v>4176.3999999999996</v>
      </c>
      <c r="O46" s="2275"/>
      <c r="P46" s="2376"/>
      <c r="Q46" s="2377"/>
      <c r="R46" s="19">
        <f>ROUND(SUM(+R21-R43),1)</f>
        <v>4148.5</v>
      </c>
      <c r="S46" s="2275"/>
      <c r="T46" s="19">
        <f>ROUND(SUM(+T21-T43),1)</f>
        <v>4148.5</v>
      </c>
      <c r="U46" s="1471"/>
      <c r="V46" s="1471"/>
      <c r="W46" s="2305"/>
      <c r="X46" s="1471"/>
      <c r="Y46" s="1644">
        <f>ROUND(SUM(Y21-Y43),1)</f>
        <v>642.1</v>
      </c>
      <c r="Z46" s="23" t="s">
        <v>14</v>
      </c>
      <c r="AA46" s="1644">
        <f>ROUND(SUM(AA21-AA43),1)</f>
        <v>642.1</v>
      </c>
      <c r="AB46" s="2306"/>
      <c r="AC46" s="2378"/>
      <c r="AD46" s="1644">
        <f>ROUND(SUM(AD21-AD43),1)</f>
        <v>3506.4</v>
      </c>
      <c r="AE46" s="2292"/>
      <c r="AF46" s="1459">
        <f>ROUND(AD46/AA46,3)</f>
        <v>5.4610000000000003</v>
      </c>
    </row>
    <row r="47" spans="1:32" ht="16.399999999999999" customHeight="1">
      <c r="A47" s="2244"/>
      <c r="B47" s="2244"/>
      <c r="C47" s="2244"/>
      <c r="D47" s="613"/>
      <c r="E47" s="9"/>
      <c r="F47" s="14"/>
      <c r="G47" s="9"/>
      <c r="H47" s="613"/>
      <c r="I47" s="9"/>
      <c r="J47" s="14"/>
      <c r="K47" s="9"/>
      <c r="L47" s="613"/>
      <c r="M47" s="9"/>
      <c r="N47" s="14"/>
      <c r="O47" s="14"/>
      <c r="P47" s="2369"/>
      <c r="Q47" s="2370"/>
      <c r="R47" s="14"/>
      <c r="S47" s="14"/>
      <c r="T47" s="14"/>
      <c r="U47" s="1418"/>
      <c r="V47" s="1418"/>
      <c r="W47" s="2299"/>
      <c r="X47" s="1418"/>
      <c r="Y47" s="1418"/>
      <c r="Z47" s="22"/>
      <c r="AA47" s="1418"/>
      <c r="AB47" s="2254"/>
      <c r="AC47" s="2357"/>
      <c r="AD47" s="1418"/>
      <c r="AE47" s="2226"/>
      <c r="AF47" s="1422"/>
    </row>
    <row r="48" spans="1:32" ht="16.399999999999999" customHeight="1">
      <c r="A48" s="2243" t="s">
        <v>45</v>
      </c>
      <c r="B48" s="2243"/>
      <c r="C48" s="2244"/>
      <c r="D48" s="612"/>
      <c r="E48" s="9"/>
      <c r="F48" s="9"/>
      <c r="G48" s="9"/>
      <c r="H48" s="612"/>
      <c r="I48" s="9"/>
      <c r="J48" s="9"/>
      <c r="K48" s="9"/>
      <c r="L48" s="612"/>
      <c r="M48" s="9"/>
      <c r="N48" s="9"/>
      <c r="O48" s="14"/>
      <c r="P48" s="2369"/>
      <c r="Q48" s="2370"/>
      <c r="R48" s="9"/>
      <c r="S48" s="9"/>
      <c r="T48" s="9"/>
      <c r="U48" s="22"/>
      <c r="V48" s="22"/>
      <c r="W48" s="2299"/>
      <c r="X48" s="22"/>
      <c r="Y48" s="22"/>
      <c r="Z48" s="22"/>
      <c r="AA48" s="22"/>
      <c r="AB48" s="2254"/>
      <c r="AC48" s="2357"/>
      <c r="AD48" s="22"/>
      <c r="AE48" s="2226"/>
      <c r="AF48" s="1422"/>
    </row>
    <row r="49" spans="1:32" ht="18" customHeight="1">
      <c r="A49" s="2293" t="s">
        <v>46</v>
      </c>
      <c r="B49" s="2390" t="s">
        <v>1162</v>
      </c>
      <c r="C49" s="2293"/>
      <c r="D49" s="617">
        <f>+'Exhibit A'!D49</f>
        <v>4327.5</v>
      </c>
      <c r="E49" s="9"/>
      <c r="F49" s="9">
        <f>+'Exhibit A'!F49</f>
        <v>4327.5</v>
      </c>
      <c r="G49" s="22"/>
      <c r="H49" s="617">
        <f>+'Exhibit G State'!D111</f>
        <v>263.5</v>
      </c>
      <c r="I49" s="22"/>
      <c r="J49" s="9">
        <f>+'Exhibit G State'!AD111</f>
        <v>263.5</v>
      </c>
      <c r="K49" s="1418"/>
      <c r="L49" s="1413">
        <f>+'Exhibit A'!L49</f>
        <v>295.89999999999998</v>
      </c>
      <c r="M49" s="1418"/>
      <c r="N49" s="17">
        <f>+'Exhibit A'!N49</f>
        <v>295.89999999999998</v>
      </c>
      <c r="O49" s="14"/>
      <c r="P49" s="2369"/>
      <c r="Q49" s="2370"/>
      <c r="R49" s="10">
        <f>ROUND(SUM(L49+H49+D49),1)</f>
        <v>4886.8999999999996</v>
      </c>
      <c r="S49" s="9"/>
      <c r="T49" s="10">
        <f>ROUND(SUM(F49+J49+N49),1)</f>
        <v>4886.8999999999996</v>
      </c>
      <c r="U49" s="22"/>
      <c r="V49" s="22"/>
      <c r="W49" s="2299"/>
      <c r="X49" s="22"/>
      <c r="Y49" s="22">
        <v>1939.1</v>
      </c>
      <c r="Z49" s="22" t="s">
        <v>14</v>
      </c>
      <c r="AA49" s="22">
        <f>'Exhibit F'!AF123+'Exhibit F'!AF124+'Exhibit F'!AF125+'Exhibit F'!AF126+'Exhibit G State'!AG111+'Exhibit H'!AD66</f>
        <v>1939.1</v>
      </c>
      <c r="AB49" s="2254"/>
      <c r="AC49" s="2357"/>
      <c r="AD49" s="22">
        <f>ROUND(SUM(T49-AA49),1)</f>
        <v>2947.8</v>
      </c>
      <c r="AE49" s="2295"/>
      <c r="AF49" s="1419">
        <f>ROUND(SUM(+AD49/AA49),3)</f>
        <v>1.52</v>
      </c>
    </row>
    <row r="50" spans="1:32" ht="18" customHeight="1">
      <c r="A50" s="2293" t="s">
        <v>47</v>
      </c>
      <c r="B50" s="2390" t="s">
        <v>1162</v>
      </c>
      <c r="C50" s="2293"/>
      <c r="D50" s="617">
        <f>+'Exhibit A'!D50</f>
        <v>-876.1</v>
      </c>
      <c r="E50" s="22"/>
      <c r="F50" s="9">
        <f>+'Exhibit A'!F50</f>
        <v>-876.1</v>
      </c>
      <c r="G50" s="22"/>
      <c r="H50" s="617">
        <f>+'Exhibit G State'!D112</f>
        <v>-9.5</v>
      </c>
      <c r="I50" s="22"/>
      <c r="J50" s="2371">
        <f>'Exhibit G State'!AD112</f>
        <v>-9.5</v>
      </c>
      <c r="K50" s="22"/>
      <c r="L50" s="1413">
        <f>+'Exhibit A'!L50</f>
        <v>-4330.8</v>
      </c>
      <c r="M50" s="1418"/>
      <c r="N50" s="17">
        <f>+'Exhibit A'!N50</f>
        <v>-4330.8</v>
      </c>
      <c r="O50" s="1418"/>
      <c r="P50" s="2369"/>
      <c r="Q50" s="2391"/>
      <c r="R50" s="2371">
        <f>ROUND(SUM(D50+H50+L50),1)</f>
        <v>-5216.3999999999996</v>
      </c>
      <c r="S50" s="1418"/>
      <c r="T50" s="9">
        <f>ROUND(SUM(F50+J50+N50),1)</f>
        <v>-5216.3999999999996</v>
      </c>
      <c r="U50" s="22"/>
      <c r="V50" s="22"/>
      <c r="W50" s="2299"/>
      <c r="X50" s="1418"/>
      <c r="Y50" s="22">
        <v>-817.9</v>
      </c>
      <c r="Z50" s="22" t="s">
        <v>14</v>
      </c>
      <c r="AA50" s="22">
        <f>'Exhibit F'!AF127+'Exhibit F'!AF128+'Exhibit F'!AF129+'Exhibit F'!AF130+'Exhibit G State'!AG112+'Exhibit H'!AD67</f>
        <v>-817.89999999999986</v>
      </c>
      <c r="AB50" s="2254"/>
      <c r="AC50" s="2357"/>
      <c r="AD50" s="22">
        <f>-ROUND(SUM(T50-AA50),1)</f>
        <v>4398.5</v>
      </c>
      <c r="AE50" s="2226"/>
      <c r="AF50" s="2392">
        <f>ROUND(SUM(-AD50/AA50),3)</f>
        <v>5.3780000000000001</v>
      </c>
    </row>
    <row r="51" spans="1:32" ht="18" customHeight="1">
      <c r="A51" s="2243" t="s">
        <v>48</v>
      </c>
      <c r="B51" s="2243"/>
      <c r="C51" s="2244"/>
      <c r="D51" s="12">
        <f>ROUND(SUM(D49:D50),1)</f>
        <v>3451.4</v>
      </c>
      <c r="E51" s="1358"/>
      <c r="F51" s="12">
        <f>ROUND(SUM(F49:F50),1)</f>
        <v>3451.4</v>
      </c>
      <c r="G51" s="1358"/>
      <c r="H51" s="12">
        <f>ROUND(SUM(H49:H50),1)</f>
        <v>254</v>
      </c>
      <c r="I51" s="1358"/>
      <c r="J51" s="12">
        <f>ROUND(SUM(J49:J50),1)</f>
        <v>254</v>
      </c>
      <c r="K51" s="1358"/>
      <c r="L51" s="12">
        <f>ROUND(SUM(L49:L50),1)</f>
        <v>-4034.9</v>
      </c>
      <c r="M51" s="1358"/>
      <c r="N51" s="12">
        <f>ROUND(SUM(N49:N50),1)</f>
        <v>-4034.9</v>
      </c>
      <c r="O51" s="2275"/>
      <c r="P51" s="2376"/>
      <c r="Q51" s="2377"/>
      <c r="R51" s="12">
        <f>ROUND(SUM(R49:R50),1)</f>
        <v>-329.5</v>
      </c>
      <c r="S51" s="2275"/>
      <c r="T51" s="12">
        <f>ROUND(SUM(T49:T50),1)</f>
        <v>-329.5</v>
      </c>
      <c r="U51" s="1471"/>
      <c r="V51" s="1471"/>
      <c r="W51" s="2305"/>
      <c r="X51" s="1471"/>
      <c r="Y51" s="3412">
        <f>ROUND(SUM(+Y49+Y50),1)</f>
        <v>1121.2</v>
      </c>
      <c r="Z51" s="23"/>
      <c r="AA51" s="2302">
        <f>ROUND(SUM(+AA49+AA50),1)</f>
        <v>1121.2</v>
      </c>
      <c r="AB51" s="2306"/>
      <c r="AC51" s="2378"/>
      <c r="AD51" s="2302">
        <f>ROUND(SUM(+AD49-AD50),1)</f>
        <v>-1450.7</v>
      </c>
      <c r="AE51" s="2278"/>
      <c r="AF51" s="1421">
        <f>-ROUND(SUM(AD51/AA51),3)</f>
        <v>1.294</v>
      </c>
    </row>
    <row r="52" spans="1:32" ht="16.399999999999999" customHeight="1">
      <c r="A52" s="2244"/>
      <c r="B52" s="2244"/>
      <c r="C52" s="2244"/>
      <c r="D52" s="613"/>
      <c r="E52" s="9"/>
      <c r="F52" s="14"/>
      <c r="G52" s="9"/>
      <c r="H52" s="613"/>
      <c r="I52" s="9"/>
      <c r="J52" s="14"/>
      <c r="K52" s="9"/>
      <c r="L52" s="613"/>
      <c r="M52" s="9"/>
      <c r="N52" s="14"/>
      <c r="O52" s="14"/>
      <c r="P52" s="2369"/>
      <c r="Q52" s="2370"/>
      <c r="R52" s="14"/>
      <c r="S52" s="14"/>
      <c r="T52" s="14"/>
      <c r="U52" s="1418"/>
      <c r="V52" s="1418"/>
      <c r="W52" s="2299"/>
      <c r="X52" s="1418"/>
      <c r="Y52" s="1418"/>
      <c r="Z52" s="22"/>
      <c r="AA52" s="1418"/>
      <c r="AB52" s="2254"/>
      <c r="AC52" s="2357"/>
      <c r="AD52" s="1418"/>
      <c r="AE52" s="2226"/>
      <c r="AF52" s="1422"/>
    </row>
    <row r="53" spans="1:32" ht="18" customHeight="1">
      <c r="A53" s="2242" t="s">
        <v>43</v>
      </c>
      <c r="B53" s="2243"/>
      <c r="C53" s="2244"/>
      <c r="D53" s="612"/>
      <c r="E53" s="9"/>
      <c r="F53" s="9"/>
      <c r="G53" s="9"/>
      <c r="H53" s="612"/>
      <c r="I53" s="9"/>
      <c r="J53" s="9"/>
      <c r="K53" s="9"/>
      <c r="L53" s="612"/>
      <c r="M53" s="9"/>
      <c r="N53" s="9"/>
      <c r="O53" s="14"/>
      <c r="P53" s="2369"/>
      <c r="Q53" s="2370"/>
      <c r="R53" s="9"/>
      <c r="S53" s="9"/>
      <c r="T53" s="9"/>
      <c r="U53" s="22"/>
      <c r="V53" s="22"/>
      <c r="W53" s="2299"/>
      <c r="X53" s="22"/>
      <c r="Y53" s="22"/>
      <c r="Z53" s="22"/>
      <c r="AA53" s="22"/>
      <c r="AB53" s="2254"/>
      <c r="AC53" s="2357"/>
      <c r="AD53" s="22"/>
      <c r="AE53" s="2226"/>
      <c r="AF53" s="1423"/>
    </row>
    <row r="54" spans="1:32" ht="18" customHeight="1">
      <c r="A54" s="2242" t="s">
        <v>57</v>
      </c>
      <c r="B54" s="2242"/>
      <c r="C54" s="2293"/>
      <c r="D54" s="617"/>
      <c r="E54" s="9"/>
      <c r="F54" s="9"/>
      <c r="G54" s="9"/>
      <c r="H54" s="612"/>
      <c r="I54" s="9"/>
      <c r="J54" s="9"/>
      <c r="K54" s="9"/>
      <c r="L54" s="612"/>
      <c r="M54" s="9"/>
      <c r="N54" s="9"/>
      <c r="O54" s="14"/>
      <c r="P54" s="2369"/>
      <c r="Q54" s="2370"/>
      <c r="R54" s="9"/>
      <c r="S54" s="9"/>
      <c r="T54" s="9"/>
      <c r="U54" s="22"/>
      <c r="V54" s="22"/>
      <c r="W54" s="2299"/>
      <c r="X54" s="22"/>
      <c r="Y54" s="22" t="s">
        <v>14</v>
      </c>
      <c r="Z54" s="22"/>
      <c r="AA54" s="22"/>
      <c r="AB54" s="2254"/>
      <c r="AC54" s="2357"/>
      <c r="AD54" s="22"/>
      <c r="AE54" s="2226"/>
      <c r="AF54" s="1422"/>
    </row>
    <row r="55" spans="1:32" ht="18" customHeight="1">
      <c r="A55" s="2242" t="s">
        <v>58</v>
      </c>
      <c r="B55" s="2242"/>
      <c r="C55" s="2293"/>
      <c r="D55" s="23">
        <f>ROUND(SUM(D46+D51),1)</f>
        <v>3056.8</v>
      </c>
      <c r="E55" s="23"/>
      <c r="F55" s="23">
        <f>ROUND(SUM(F46)+SUM(F51),1)</f>
        <v>3056.8</v>
      </c>
      <c r="G55" s="23"/>
      <c r="H55" s="23">
        <f>ROUND(SUM(H46+H51),1)</f>
        <v>620.70000000000005</v>
      </c>
      <c r="I55" s="23"/>
      <c r="J55" s="23">
        <f>ROUND(SUM(J46)+SUM(J51),1)</f>
        <v>620.70000000000005</v>
      </c>
      <c r="K55" s="23"/>
      <c r="L55" s="23">
        <f>ROUND(SUM(L46+L51),1)</f>
        <v>141.5</v>
      </c>
      <c r="M55" s="2393"/>
      <c r="N55" s="2393">
        <f>ROUND(SUM(N46+N51),1)</f>
        <v>141.5</v>
      </c>
      <c r="O55" s="2376"/>
      <c r="P55" s="2376"/>
      <c r="Q55" s="2394"/>
      <c r="R55" s="2393">
        <f>ROUND(SUM(+R46+R51),1)</f>
        <v>3819</v>
      </c>
      <c r="S55" s="2393"/>
      <c r="T55" s="2393">
        <f>ROUND(SUM(T46+T51),1)</f>
        <v>3819</v>
      </c>
      <c r="U55" s="2393"/>
      <c r="V55" s="2393"/>
      <c r="W55" s="2395"/>
      <c r="X55" s="2393"/>
      <c r="Y55" s="23">
        <f>ROUND(SUM(Y46)+SUM(Y51),1)</f>
        <v>1763.3</v>
      </c>
      <c r="Z55" s="23"/>
      <c r="AA55" s="23">
        <f>ROUND(SUM(AA46)+SUM(AA51),1)</f>
        <v>1763.3</v>
      </c>
      <c r="AB55" s="2306"/>
      <c r="AC55" s="2378"/>
      <c r="AD55" s="1471">
        <f>ROUND(SUM(+AD46+AD51),1)</f>
        <v>2055.6999999999998</v>
      </c>
      <c r="AE55" s="2278"/>
      <c r="AF55" s="1483">
        <f>ROUND(SUM(AD55/AA55),3)</f>
        <v>1.1659999999999999</v>
      </c>
    </row>
    <row r="56" spans="1:32" ht="16.399999999999999" customHeight="1">
      <c r="A56" s="2243"/>
      <c r="B56" s="2243"/>
      <c r="C56" s="2244"/>
      <c r="D56" s="612"/>
      <c r="E56" s="9"/>
      <c r="F56" s="14"/>
      <c r="G56" s="9"/>
      <c r="H56" s="612"/>
      <c r="I56" s="9"/>
      <c r="J56" s="9"/>
      <c r="K56" s="9"/>
      <c r="L56" s="617"/>
      <c r="M56" s="22"/>
      <c r="N56" s="22"/>
      <c r="O56" s="1418"/>
      <c r="P56" s="2369"/>
      <c r="Q56" s="2391"/>
      <c r="R56" s="22"/>
      <c r="S56" s="22"/>
      <c r="T56" s="22"/>
      <c r="U56" s="22"/>
      <c r="V56" s="22"/>
      <c r="W56" s="2299"/>
      <c r="X56" s="22"/>
      <c r="Y56" s="22"/>
      <c r="Z56" s="22"/>
      <c r="AA56" s="22"/>
      <c r="AB56" s="2254"/>
      <c r="AC56" s="2357"/>
      <c r="AD56" s="22"/>
      <c r="AE56" s="2226"/>
      <c r="AF56" s="1422"/>
    </row>
    <row r="57" spans="1:32" ht="18" customHeight="1">
      <c r="A57" s="2396" t="s">
        <v>51</v>
      </c>
      <c r="B57" s="2285" t="s">
        <v>1547</v>
      </c>
      <c r="C57" s="2244"/>
      <c r="D57" s="19">
        <f>+'Exhibit A'!D57</f>
        <v>9160.7999999999993</v>
      </c>
      <c r="E57" s="1358"/>
      <c r="F57" s="19">
        <f>'Exhibit A'!F57</f>
        <v>9160.7999999999993</v>
      </c>
      <c r="G57" s="1358"/>
      <c r="H57" s="19">
        <f>+'Exhibit G State'!D13</f>
        <v>5708.6</v>
      </c>
      <c r="I57" s="1358"/>
      <c r="J57" s="19">
        <f>'Exhibit G State'!D13</f>
        <v>5708.6</v>
      </c>
      <c r="K57" s="1358"/>
      <c r="L57" s="1644">
        <f>+'Exhibit A'!L57</f>
        <v>65</v>
      </c>
      <c r="M57" s="1471"/>
      <c r="N57" s="3763">
        <f>+'Exhibit A'!N57</f>
        <v>65</v>
      </c>
      <c r="O57" s="1471"/>
      <c r="P57" s="2376"/>
      <c r="Q57" s="3764"/>
      <c r="R57" s="1644">
        <f>ROUND(SUM(D57+H57+L57),1)</f>
        <v>14934.4</v>
      </c>
      <c r="S57" s="2275"/>
      <c r="T57" s="19">
        <f>ROUND(SUM(F57+J57+N57),1)</f>
        <v>14934.4</v>
      </c>
      <c r="U57" s="1471"/>
      <c r="V57" s="1471"/>
      <c r="W57" s="2305"/>
      <c r="X57" s="1471"/>
      <c r="Y57" s="1644">
        <v>14408.300000000001</v>
      </c>
      <c r="Z57" s="23" t="s">
        <v>14</v>
      </c>
      <c r="AA57" s="1644">
        <f>'Exhibit F'!AF12+'Exhibit G State'!AG13+'Exhibit H'!AD12</f>
        <v>14408.300000000001</v>
      </c>
      <c r="AB57" s="2306"/>
      <c r="AC57" s="2378"/>
      <c r="AD57" s="1644">
        <f>ROUND(SUM(T57-AA57),1)</f>
        <v>526.1</v>
      </c>
      <c r="AE57" s="2278"/>
      <c r="AF57" s="2308">
        <f>ROUND(+AD57/AA57,3)</f>
        <v>3.6999999999999998E-2</v>
      </c>
    </row>
    <row r="58" spans="1:32" ht="16.399999999999999" customHeight="1">
      <c r="A58" s="2293"/>
      <c r="B58" s="2244"/>
      <c r="C58" s="2244"/>
      <c r="D58" s="2397"/>
      <c r="E58" s="2244"/>
      <c r="F58" s="7"/>
      <c r="G58" s="2244"/>
      <c r="H58" s="610"/>
      <c r="I58" s="2244"/>
      <c r="J58" s="7"/>
      <c r="K58" s="2244"/>
      <c r="L58" s="2397"/>
      <c r="M58" s="2244"/>
      <c r="N58" s="7"/>
      <c r="O58" s="7"/>
      <c r="P58" s="2354"/>
      <c r="Q58" s="2355"/>
      <c r="R58" s="7"/>
      <c r="S58" s="7"/>
      <c r="T58" s="7"/>
      <c r="U58" s="2254"/>
      <c r="V58" s="2254"/>
      <c r="W58" s="2356"/>
      <c r="X58" s="2254"/>
      <c r="Y58" s="2254"/>
      <c r="Z58" s="2293"/>
      <c r="AA58" s="2254"/>
      <c r="AB58" s="2254"/>
      <c r="AC58" s="2357"/>
      <c r="AD58" s="1418"/>
      <c r="AE58" s="2226"/>
      <c r="AF58" s="1422"/>
    </row>
    <row r="59" spans="1:32" ht="18" customHeight="1" thickBot="1">
      <c r="A59" s="2398" t="s">
        <v>59</v>
      </c>
      <c r="B59" s="2399" t="s">
        <v>14</v>
      </c>
      <c r="C59" s="2244"/>
      <c r="D59" s="25">
        <f>ROUND(SUM(D55+D57),1)</f>
        <v>12217.6</v>
      </c>
      <c r="E59" s="2311"/>
      <c r="F59" s="25">
        <f>ROUND(SUM(F55+F57),1)</f>
        <v>12217.6</v>
      </c>
      <c r="G59" s="2311"/>
      <c r="H59" s="25">
        <f>ROUND(SUM(H55+H57),1)</f>
        <v>6329.3</v>
      </c>
      <c r="I59" s="2311"/>
      <c r="J59" s="25">
        <f>ROUND(SUM(J55)+SUM(J57),1)</f>
        <v>6329.3</v>
      </c>
      <c r="K59" s="2311"/>
      <c r="L59" s="25">
        <f>ROUND(SUM(L55+L57),1)</f>
        <v>206.5</v>
      </c>
      <c r="M59" s="2400"/>
      <c r="N59" s="2401">
        <f>ROUND(SUM(N55+N57),1)</f>
        <v>206.5</v>
      </c>
      <c r="O59" s="2402"/>
      <c r="P59" s="2402"/>
      <c r="Q59" s="2403"/>
      <c r="R59" s="2401">
        <f>ROUND(SUM(R55+R57),1)</f>
        <v>18753.400000000001</v>
      </c>
      <c r="S59" s="2402"/>
      <c r="T59" s="2401">
        <f>ROUND(SUM(T55+T57),1)</f>
        <v>18753.400000000001</v>
      </c>
      <c r="U59" s="2402"/>
      <c r="V59" s="2402"/>
      <c r="W59" s="2404"/>
      <c r="X59" s="2402"/>
      <c r="Y59" s="25">
        <f>ROUND(SUM(Y55+Y57),1)</f>
        <v>16171.6</v>
      </c>
      <c r="Z59" s="2311"/>
      <c r="AA59" s="25">
        <f>ROUND(SUM(AA55+AA57),1)</f>
        <v>16171.6</v>
      </c>
      <c r="AB59" s="2316"/>
      <c r="AC59" s="2405"/>
      <c r="AD59" s="25">
        <f>ROUND(SUM(AD55+AD57),1)</f>
        <v>2581.8000000000002</v>
      </c>
      <c r="AE59" s="2278"/>
      <c r="AF59" s="2315">
        <f>ROUND(+AD59/AA59,3)</f>
        <v>0.16</v>
      </c>
    </row>
    <row r="60" spans="1:32" ht="16" thickTop="1">
      <c r="A60" s="2317"/>
      <c r="B60" s="2317"/>
      <c r="C60" s="2317"/>
      <c r="D60" s="2319"/>
      <c r="E60" s="2319"/>
      <c r="F60" s="2319"/>
      <c r="G60" s="2319"/>
      <c r="H60" s="2318"/>
      <c r="I60" s="2319"/>
      <c r="J60" s="2319"/>
      <c r="K60" s="2319"/>
      <c r="L60" s="2319"/>
      <c r="M60" s="2319"/>
      <c r="N60" s="2319"/>
      <c r="O60" s="2319"/>
      <c r="P60" s="2406"/>
      <c r="Q60" s="2319"/>
      <c r="R60" s="2319"/>
      <c r="S60" s="2319"/>
      <c r="T60" s="2319"/>
      <c r="U60" s="2321"/>
      <c r="V60" s="2321"/>
      <c r="W60" s="2321"/>
      <c r="X60" s="2321"/>
      <c r="Y60" s="2321"/>
      <c r="Z60" s="2321"/>
      <c r="AA60" s="2321"/>
      <c r="AB60" s="2321"/>
      <c r="AC60" s="2321"/>
      <c r="AD60" s="2321"/>
      <c r="AE60" s="2226"/>
      <c r="AF60" s="2322"/>
    </row>
    <row r="61" spans="1:32">
      <c r="A61" s="2295"/>
      <c r="B61" s="2295"/>
      <c r="C61" s="2295"/>
      <c r="D61" s="2295"/>
      <c r="E61" s="2295"/>
      <c r="F61" s="2295"/>
      <c r="G61" s="2295"/>
      <c r="H61" s="2324" t="s">
        <v>14</v>
      </c>
      <c r="I61" s="2295"/>
      <c r="J61" s="2295"/>
      <c r="K61" s="2295"/>
      <c r="L61" s="2295"/>
      <c r="M61" s="2295"/>
      <c r="N61" s="2295"/>
      <c r="O61" s="2295"/>
      <c r="P61" s="2295"/>
      <c r="Q61" s="2295" t="s">
        <v>14</v>
      </c>
      <c r="R61" s="2295" t="s">
        <v>14</v>
      </c>
      <c r="S61" s="2295"/>
      <c r="T61" s="2295"/>
      <c r="U61" s="2334"/>
      <c r="V61" s="2334"/>
      <c r="W61" s="2334"/>
      <c r="X61" s="2334"/>
      <c r="Y61" s="2334"/>
      <c r="Z61" s="2334"/>
      <c r="AA61" s="2334"/>
      <c r="AB61" s="2334"/>
    </row>
    <row r="62" spans="1:32" ht="18" customHeight="1">
      <c r="A62" s="2248" t="s">
        <v>1109</v>
      </c>
      <c r="B62" s="2295"/>
      <c r="C62" s="2295"/>
      <c r="D62" s="2295"/>
      <c r="E62" s="2295"/>
      <c r="F62" s="2295"/>
      <c r="G62" s="2295"/>
      <c r="H62" s="2324"/>
      <c r="I62" s="2295"/>
      <c r="J62" s="2295"/>
      <c r="K62" s="2295"/>
      <c r="L62" s="2295"/>
      <c r="M62" s="2295"/>
      <c r="N62" s="2295"/>
      <c r="O62" s="2295"/>
      <c r="P62" s="2295"/>
      <c r="Q62" s="2295"/>
      <c r="R62" s="2295"/>
      <c r="S62" s="2295"/>
      <c r="T62" s="2295"/>
      <c r="U62" s="2334"/>
      <c r="V62" s="2334"/>
      <c r="W62" s="2334"/>
      <c r="X62" s="2334"/>
      <c r="Y62" s="2334"/>
      <c r="Z62" s="2334"/>
      <c r="AA62" s="2334" t="s">
        <v>14</v>
      </c>
      <c r="AB62" s="2334"/>
    </row>
    <row r="63" spans="1:32" ht="18" customHeight="1">
      <c r="A63" s="2407" t="s">
        <v>1108</v>
      </c>
      <c r="B63" s="2295"/>
      <c r="C63" s="2295"/>
      <c r="D63" s="2295"/>
      <c r="E63" s="2295"/>
      <c r="F63" s="2295"/>
      <c r="G63" s="2295"/>
      <c r="H63" s="2324"/>
      <c r="I63" s="2295"/>
      <c r="J63" s="2295"/>
      <c r="K63" s="2295"/>
      <c r="L63" s="2295"/>
      <c r="M63" s="2295"/>
      <c r="N63" s="2295"/>
      <c r="O63" s="2295"/>
      <c r="P63" s="2295"/>
      <c r="Q63" s="2295"/>
      <c r="R63" s="2295"/>
      <c r="S63" s="2295"/>
      <c r="T63" s="2295"/>
      <c r="U63" s="2334"/>
      <c r="V63" s="2334"/>
      <c r="W63" s="2334"/>
      <c r="X63" s="2334"/>
      <c r="Y63" s="2334"/>
      <c r="Z63" s="2334"/>
      <c r="AA63" s="2334"/>
      <c r="AB63" s="2334"/>
    </row>
    <row r="64" spans="1:32" ht="15.5">
      <c r="A64" s="2353"/>
      <c r="B64" s="2295"/>
      <c r="C64" s="2295"/>
      <c r="D64" s="2295"/>
      <c r="E64" s="2295"/>
      <c r="F64" s="2295"/>
      <c r="G64" s="2295"/>
      <c r="H64" s="2324"/>
      <c r="I64" s="2295"/>
      <c r="J64" s="2295"/>
      <c r="K64" s="2295"/>
      <c r="L64" s="2295"/>
      <c r="M64" s="2295"/>
      <c r="N64" s="2295"/>
      <c r="O64" s="2295"/>
      <c r="P64" s="2295"/>
      <c r="Q64" s="2295"/>
      <c r="R64" s="2295"/>
      <c r="S64" s="2295"/>
      <c r="T64" s="2295"/>
      <c r="U64" s="2334"/>
      <c r="V64" s="2334"/>
      <c r="W64" s="2334"/>
      <c r="X64" s="2334"/>
      <c r="Y64" s="617" t="s">
        <v>14</v>
      </c>
      <c r="Z64" s="2334"/>
      <c r="AA64" s="2334" t="s">
        <v>14</v>
      </c>
      <c r="AB64" s="2334"/>
    </row>
    <row r="65" spans="1:28" ht="15.5">
      <c r="A65" s="2329"/>
      <c r="B65" s="2330"/>
      <c r="C65" s="2323"/>
      <c r="D65" s="2332"/>
      <c r="E65" s="2332"/>
      <c r="F65" s="2332"/>
      <c r="G65" s="2332"/>
      <c r="H65" s="2331"/>
      <c r="I65" s="2332"/>
      <c r="J65" s="2332"/>
      <c r="K65" s="2332"/>
      <c r="L65" s="2332"/>
      <c r="M65" s="2295"/>
      <c r="N65" s="2295"/>
      <c r="O65" s="2295"/>
      <c r="P65" s="2295"/>
      <c r="Q65" s="2295"/>
      <c r="R65" s="2295"/>
      <c r="S65" s="2295"/>
      <c r="T65" s="2295"/>
      <c r="U65" s="2334"/>
      <c r="V65" s="2334"/>
      <c r="W65" s="2334"/>
      <c r="X65" s="2334"/>
      <c r="Y65" s="617" t="s">
        <v>14</v>
      </c>
      <c r="Z65" s="2334"/>
      <c r="AA65" s="2334"/>
      <c r="AB65" s="2334"/>
    </row>
    <row r="66" spans="1:28" ht="15.5">
      <c r="A66" s="1422"/>
      <c r="B66" s="1422"/>
      <c r="C66" s="1422"/>
      <c r="D66" s="2248"/>
      <c r="E66" s="1422"/>
      <c r="F66" s="1422"/>
      <c r="G66" s="1422"/>
      <c r="H66" s="2333"/>
      <c r="I66" s="1422"/>
      <c r="J66" s="1422"/>
      <c r="K66" s="1422"/>
      <c r="L66" s="2248"/>
      <c r="M66" s="2295"/>
      <c r="N66" s="2295"/>
      <c r="O66" s="2295"/>
      <c r="P66" s="2295"/>
      <c r="Q66" s="2295"/>
      <c r="R66" s="2295"/>
      <c r="S66" s="2295"/>
      <c r="T66" s="2295"/>
      <c r="U66" s="2334"/>
      <c r="V66" s="2334"/>
      <c r="W66" s="2334"/>
      <c r="X66" s="2334"/>
      <c r="Y66" s="2334"/>
      <c r="Z66" s="2334"/>
      <c r="AA66" s="2334"/>
      <c r="AB66" s="2334"/>
    </row>
    <row r="67" spans="1:28" ht="15.5">
      <c r="A67" s="1422"/>
      <c r="B67" s="1422"/>
      <c r="C67" s="1422"/>
      <c r="D67" s="2248"/>
      <c r="E67" s="1422"/>
      <c r="F67" s="1422"/>
      <c r="G67" s="1422"/>
      <c r="H67" s="2333"/>
      <c r="I67" s="1422"/>
      <c r="J67" s="1422"/>
      <c r="K67" s="1422"/>
      <c r="L67" s="2248"/>
      <c r="M67" s="2295"/>
      <c r="N67" s="2295"/>
      <c r="O67" s="2295"/>
      <c r="P67" s="2295"/>
      <c r="Q67" s="2295"/>
      <c r="R67" s="2295"/>
      <c r="S67" s="2295"/>
      <c r="T67" s="2295"/>
      <c r="U67" s="2334"/>
      <c r="V67" s="2334"/>
      <c r="W67" s="2334"/>
      <c r="X67" s="2334"/>
      <c r="Y67" s="2334"/>
      <c r="Z67" s="2334"/>
      <c r="AA67" s="2334"/>
      <c r="AB67" s="2334"/>
    </row>
    <row r="68" spans="1:28" ht="15.5">
      <c r="A68" s="1422"/>
      <c r="B68" s="1422"/>
      <c r="C68" s="1422"/>
      <c r="D68" s="2248"/>
      <c r="E68" s="1422"/>
      <c r="F68" s="1422"/>
      <c r="G68" s="1422"/>
      <c r="H68" s="2333"/>
      <c r="I68" s="1422"/>
      <c r="J68" s="1422"/>
      <c r="K68" s="1422"/>
      <c r="L68" s="2248"/>
      <c r="M68" s="2295"/>
      <c r="N68" s="2295"/>
      <c r="O68" s="2295"/>
      <c r="P68" s="2295"/>
      <c r="Q68" s="2295"/>
      <c r="R68" s="2295"/>
      <c r="S68" s="2295"/>
      <c r="T68" s="2295"/>
      <c r="U68" s="2334"/>
      <c r="V68" s="2334"/>
      <c r="W68" s="2334"/>
      <c r="X68" s="2334"/>
      <c r="Y68" s="2334"/>
      <c r="Z68" s="2334"/>
      <c r="AA68" s="2334"/>
      <c r="AB68" s="2334"/>
    </row>
    <row r="69" spans="1:28" ht="19.5" customHeight="1">
      <c r="A69" s="2233"/>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B57"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0"/>
  <sheetViews>
    <sheetView showGridLines="0" zoomScale="90" zoomScaleNormal="100" workbookViewId="0"/>
  </sheetViews>
  <sheetFormatPr defaultColWidth="8.765625" defaultRowHeight="15.5"/>
  <cols>
    <col min="1" max="1" width="56.765625" style="725" customWidth="1"/>
    <col min="2" max="2" width="2.07421875" style="725" customWidth="1"/>
    <col min="3" max="3" width="19" style="724" customWidth="1"/>
    <col min="4" max="4" width="1.765625" style="725" customWidth="1"/>
    <col min="5" max="5" width="16.4609375" style="725" customWidth="1"/>
    <col min="6" max="6" width="1.53515625" style="725" customWidth="1"/>
    <col min="7" max="7" width="16.53515625" style="725" customWidth="1"/>
    <col min="8" max="8" width="1.53515625" style="725" customWidth="1"/>
    <col min="9" max="9" width="17.765625" style="725" customWidth="1"/>
    <col min="10" max="10" width="1.53515625" style="725" customWidth="1"/>
    <col min="11" max="11" width="20.07421875" style="725" customWidth="1"/>
    <col min="12" max="12" width="6.07421875" style="2208" customWidth="1"/>
    <col min="13" max="13" width="2.53515625" style="2208" customWidth="1"/>
    <col min="14" max="14" width="11" style="2208" bestFit="1" customWidth="1"/>
    <col min="15" max="15" width="20.765625" style="725" customWidth="1"/>
    <col min="16" max="16384" width="8.765625" style="725"/>
  </cols>
  <sheetData>
    <row r="1" spans="1:14">
      <c r="A1" s="1493" t="s">
        <v>885</v>
      </c>
    </row>
    <row r="2" spans="1:14">
      <c r="A2" s="2999"/>
    </row>
    <row r="3" spans="1:14" ht="18">
      <c r="A3" s="3000" t="s">
        <v>0</v>
      </c>
      <c r="B3" s="767"/>
      <c r="C3" s="767"/>
      <c r="D3" s="767"/>
      <c r="E3" s="767"/>
      <c r="F3" s="767"/>
      <c r="G3" s="767"/>
      <c r="H3" s="767"/>
      <c r="I3" s="767"/>
      <c r="J3" s="767"/>
      <c r="K3" s="3001" t="s">
        <v>229</v>
      </c>
      <c r="L3" s="3002"/>
    </row>
    <row r="4" spans="1:14" ht="18">
      <c r="A4" s="3000" t="s">
        <v>228</v>
      </c>
      <c r="B4" s="767"/>
      <c r="C4" s="767" t="s">
        <v>14</v>
      </c>
      <c r="D4" s="767"/>
      <c r="E4" s="767"/>
      <c r="F4" s="767"/>
      <c r="G4" s="767"/>
      <c r="H4" s="767"/>
      <c r="I4" s="767"/>
      <c r="J4" s="767"/>
      <c r="L4" s="3003"/>
    </row>
    <row r="5" spans="1:14" ht="18">
      <c r="A5" s="3000" t="s">
        <v>1190</v>
      </c>
      <c r="B5" s="767"/>
      <c r="C5" s="767"/>
      <c r="D5" s="767"/>
      <c r="E5" s="767"/>
      <c r="F5" s="767"/>
      <c r="G5" s="767"/>
      <c r="H5" s="767"/>
      <c r="I5" s="767"/>
      <c r="J5" s="767"/>
      <c r="K5" s="3004"/>
      <c r="L5" s="3005"/>
    </row>
    <row r="6" spans="1:14" ht="18">
      <c r="A6" s="3006" t="s">
        <v>230</v>
      </c>
      <c r="B6" s="767"/>
      <c r="C6" s="767"/>
      <c r="D6" s="767"/>
      <c r="E6" s="767"/>
      <c r="F6" s="767"/>
      <c r="G6" s="767"/>
      <c r="H6" s="767"/>
      <c r="I6" s="767"/>
      <c r="J6" s="767"/>
      <c r="K6" s="434"/>
      <c r="L6" s="3007"/>
    </row>
    <row r="7" spans="1:14" ht="18">
      <c r="A7" s="3006" t="s">
        <v>1417</v>
      </c>
      <c r="B7" s="767"/>
      <c r="C7" s="767"/>
      <c r="D7" s="767"/>
      <c r="E7" s="767"/>
      <c r="F7" s="767"/>
      <c r="G7" s="767"/>
      <c r="H7" s="767"/>
      <c r="I7" s="767"/>
      <c r="J7" s="767"/>
      <c r="K7" s="434"/>
      <c r="L7" s="3007"/>
    </row>
    <row r="8" spans="1:14" ht="18">
      <c r="A8" s="3006" t="s">
        <v>1423</v>
      </c>
      <c r="B8" s="767"/>
      <c r="C8" s="767"/>
      <c r="D8" s="767"/>
      <c r="E8" s="767" t="s">
        <v>14</v>
      </c>
      <c r="F8" s="767"/>
      <c r="G8" s="767"/>
      <c r="H8" s="767"/>
      <c r="I8" s="767"/>
      <c r="J8" s="767"/>
      <c r="K8" s="767"/>
      <c r="L8" s="3002"/>
    </row>
    <row r="9" spans="1:14" ht="18">
      <c r="A9" s="3000" t="s">
        <v>1284</v>
      </c>
      <c r="B9" s="3008" t="s">
        <v>231</v>
      </c>
      <c r="C9" s="720"/>
      <c r="D9" s="720"/>
      <c r="E9" s="720"/>
      <c r="F9" s="720"/>
      <c r="G9" s="720"/>
      <c r="H9" s="720"/>
      <c r="I9" s="720"/>
      <c r="J9" s="720"/>
      <c r="K9" s="720"/>
      <c r="L9" s="722"/>
    </row>
    <row r="10" spans="1:14">
      <c r="A10" s="720"/>
      <c r="B10" s="720"/>
      <c r="C10" s="431" t="s">
        <v>232</v>
      </c>
      <c r="D10" s="435"/>
      <c r="E10" s="435"/>
      <c r="F10" s="435"/>
      <c r="G10" s="437"/>
      <c r="H10" s="435"/>
      <c r="I10" s="2203" t="s">
        <v>233</v>
      </c>
      <c r="J10" s="435"/>
      <c r="K10" s="2203" t="s">
        <v>232</v>
      </c>
      <c r="L10" s="2203"/>
    </row>
    <row r="11" spans="1:14">
      <c r="A11" s="720"/>
      <c r="B11" s="720"/>
      <c r="C11" s="3429" t="s">
        <v>1424</v>
      </c>
      <c r="D11" s="435"/>
      <c r="E11" s="2204" t="s">
        <v>234</v>
      </c>
      <c r="F11" s="437"/>
      <c r="G11" s="2205" t="s">
        <v>235</v>
      </c>
      <c r="H11" s="437"/>
      <c r="I11" s="2205" t="s">
        <v>236</v>
      </c>
      <c r="J11" s="437"/>
      <c r="K11" s="3009" t="s">
        <v>1425</v>
      </c>
      <c r="L11" s="2206"/>
    </row>
    <row r="12" spans="1:14">
      <c r="A12" s="720"/>
      <c r="B12" s="720"/>
      <c r="C12" s="2206"/>
      <c r="D12" s="435"/>
      <c r="E12" s="2203"/>
      <c r="F12" s="437"/>
      <c r="G12" s="2203"/>
      <c r="H12" s="437"/>
      <c r="I12" s="2203"/>
      <c r="J12" s="437"/>
      <c r="K12" s="3010"/>
      <c r="L12" s="2206"/>
    </row>
    <row r="13" spans="1:14">
      <c r="A13" s="432" t="s">
        <v>145</v>
      </c>
      <c r="B13" s="720"/>
      <c r="C13" s="722"/>
      <c r="D13" s="720"/>
      <c r="E13" s="1711"/>
      <c r="F13" s="720"/>
      <c r="G13" s="719"/>
      <c r="H13" s="720"/>
      <c r="I13" s="719"/>
      <c r="J13" s="720"/>
      <c r="K13" s="722"/>
      <c r="L13" s="722"/>
    </row>
    <row r="14" spans="1:14">
      <c r="A14" s="720" t="s">
        <v>237</v>
      </c>
      <c r="B14" s="1711"/>
      <c r="C14" s="1678">
        <v>0</v>
      </c>
      <c r="D14" s="1679"/>
      <c r="E14" s="1678">
        <v>0</v>
      </c>
      <c r="F14" s="1679"/>
      <c r="G14" s="1678">
        <v>3377.3670000000002</v>
      </c>
      <c r="H14" s="1679"/>
      <c r="I14" s="1678">
        <v>3377.3670000000002</v>
      </c>
      <c r="J14" s="1711"/>
      <c r="K14" s="783">
        <f t="shared" ref="K14:K23" si="0">ROUND(SUM(C14)+SUM(E14)-SUM(G14)+SUM(I14),3)</f>
        <v>0</v>
      </c>
      <c r="L14" s="2120"/>
    </row>
    <row r="15" spans="1:14">
      <c r="A15" s="720" t="s">
        <v>238</v>
      </c>
      <c r="B15" s="720"/>
      <c r="C15" s="1682">
        <v>0</v>
      </c>
      <c r="D15" s="1679"/>
      <c r="E15" s="1682">
        <v>4637.3670000000002</v>
      </c>
      <c r="F15" s="1679"/>
      <c r="G15" s="1682">
        <v>1654.518</v>
      </c>
      <c r="H15" s="1679"/>
      <c r="I15" s="1682">
        <v>9205.4689999999991</v>
      </c>
      <c r="J15" s="1711"/>
      <c r="K15" s="638">
        <f t="shared" si="0"/>
        <v>12188.317999999999</v>
      </c>
      <c r="L15" s="2126"/>
      <c r="M15" s="2123"/>
      <c r="N15" s="2123"/>
    </row>
    <row r="16" spans="1:14">
      <c r="A16" s="721" t="s">
        <v>239</v>
      </c>
      <c r="B16" s="720"/>
      <c r="C16" s="1682">
        <v>1257.7629999999999</v>
      </c>
      <c r="D16" s="1679"/>
      <c r="E16" s="1682">
        <v>0</v>
      </c>
      <c r="F16" s="1679"/>
      <c r="G16" s="1682">
        <v>0</v>
      </c>
      <c r="H16" s="1679"/>
      <c r="I16" s="1682">
        <v>-1257.7629999999999</v>
      </c>
      <c r="J16" s="1711"/>
      <c r="K16" s="638">
        <f t="shared" si="0"/>
        <v>0</v>
      </c>
      <c r="L16" s="2126"/>
      <c r="M16" s="2123"/>
      <c r="N16" s="2123"/>
    </row>
    <row r="17" spans="1:14">
      <c r="A17" s="720" t="s">
        <v>240</v>
      </c>
      <c r="B17" s="720"/>
      <c r="C17" s="1682">
        <v>20.623999999999999</v>
      </c>
      <c r="D17" s="1679"/>
      <c r="E17" s="1682">
        <v>0</v>
      </c>
      <c r="F17" s="1679"/>
      <c r="G17" s="1682">
        <v>0</v>
      </c>
      <c r="H17" s="1679"/>
      <c r="I17" s="1682">
        <v>-20.623999999999999</v>
      </c>
      <c r="J17" s="1711"/>
      <c r="K17" s="638">
        <f t="shared" si="0"/>
        <v>0</v>
      </c>
      <c r="L17" s="2126"/>
      <c r="M17" s="2123"/>
      <c r="N17" s="2123"/>
    </row>
    <row r="18" spans="1:14">
      <c r="A18" s="720" t="s">
        <v>241</v>
      </c>
      <c r="B18" s="720"/>
      <c r="C18" s="1682">
        <v>0</v>
      </c>
      <c r="D18" s="1679"/>
      <c r="E18" s="1682">
        <v>0</v>
      </c>
      <c r="F18" s="1679"/>
      <c r="G18" s="1682">
        <v>0</v>
      </c>
      <c r="H18" s="1679"/>
      <c r="I18" s="1682">
        <v>0</v>
      </c>
      <c r="J18" s="1711"/>
      <c r="K18" s="638">
        <f t="shared" si="0"/>
        <v>0</v>
      </c>
      <c r="L18" s="2126"/>
      <c r="M18" s="2123"/>
      <c r="N18" s="2123"/>
    </row>
    <row r="19" spans="1:14">
      <c r="A19" s="720" t="s">
        <v>242</v>
      </c>
      <c r="B19" s="720"/>
      <c r="C19" s="1682">
        <v>29.439</v>
      </c>
      <c r="D19" s="1679"/>
      <c r="E19" s="1682">
        <v>0</v>
      </c>
      <c r="F19" s="1679"/>
      <c r="G19" s="1682">
        <v>0.189</v>
      </c>
      <c r="H19" s="1679"/>
      <c r="I19" s="1682">
        <v>0</v>
      </c>
      <c r="J19" s="1711"/>
      <c r="K19" s="638">
        <f t="shared" si="0"/>
        <v>29.25</v>
      </c>
      <c r="L19" s="723"/>
      <c r="M19" s="2123"/>
      <c r="N19" s="2123"/>
    </row>
    <row r="20" spans="1:14">
      <c r="A20" s="720" t="s">
        <v>243</v>
      </c>
      <c r="B20" s="720"/>
      <c r="C20" s="1682">
        <v>1217.5440000000001</v>
      </c>
      <c r="D20" s="1679"/>
      <c r="E20" s="1682">
        <v>0</v>
      </c>
      <c r="F20" s="1679"/>
      <c r="G20" s="1682">
        <v>0</v>
      </c>
      <c r="H20" s="1679"/>
      <c r="I20" s="1682">
        <v>-1217.5440000000001</v>
      </c>
      <c r="J20" s="1711"/>
      <c r="K20" s="638">
        <f t="shared" si="0"/>
        <v>0</v>
      </c>
      <c r="L20" s="2126"/>
      <c r="M20" s="2123"/>
      <c r="N20" s="2123"/>
    </row>
    <row r="21" spans="1:14">
      <c r="A21" s="721" t="s">
        <v>244</v>
      </c>
      <c r="B21" s="722"/>
      <c r="C21" s="1682">
        <v>6635.4610000000002</v>
      </c>
      <c r="D21" s="1679"/>
      <c r="E21" s="1682">
        <v>0</v>
      </c>
      <c r="F21" s="1679"/>
      <c r="G21" s="1682">
        <v>0</v>
      </c>
      <c r="H21" s="1679"/>
      <c r="I21" s="1682">
        <v>-6635.4610000000002</v>
      </c>
      <c r="J21" s="1711"/>
      <c r="K21" s="638">
        <f t="shared" si="0"/>
        <v>0</v>
      </c>
      <c r="L21" s="2126"/>
      <c r="M21" s="2123"/>
      <c r="N21" s="2123"/>
    </row>
    <row r="22" spans="1:14">
      <c r="A22" s="721" t="s">
        <v>245</v>
      </c>
      <c r="B22" s="720"/>
      <c r="C22" s="1682">
        <v>0</v>
      </c>
      <c r="D22" s="1679"/>
      <c r="E22" s="1682">
        <v>0</v>
      </c>
      <c r="F22" s="1679"/>
      <c r="G22" s="1682">
        <v>0</v>
      </c>
      <c r="H22" s="1679"/>
      <c r="I22" s="1682">
        <v>0</v>
      </c>
      <c r="J22" s="1711"/>
      <c r="K22" s="638">
        <f t="shared" si="0"/>
        <v>0</v>
      </c>
      <c r="L22" s="2126"/>
      <c r="M22" s="2123"/>
      <c r="N22" s="2123"/>
    </row>
    <row r="23" spans="1:14">
      <c r="A23" s="721" t="s">
        <v>246</v>
      </c>
      <c r="B23" s="720"/>
      <c r="C23" s="1682">
        <v>0</v>
      </c>
      <c r="D23" s="1679"/>
      <c r="E23" s="1682">
        <v>0</v>
      </c>
      <c r="F23" s="1679"/>
      <c r="G23" s="1682">
        <v>0</v>
      </c>
      <c r="H23" s="1679"/>
      <c r="I23" s="1682">
        <v>0</v>
      </c>
      <c r="J23" s="1711"/>
      <c r="K23" s="638">
        <f t="shared" si="0"/>
        <v>0</v>
      </c>
      <c r="L23" s="2126"/>
      <c r="M23" s="2123"/>
    </row>
    <row r="24" spans="1:14" ht="22.5" customHeight="1">
      <c r="A24" s="429" t="s">
        <v>247</v>
      </c>
      <c r="B24" s="720"/>
      <c r="C24" s="430">
        <f>ROUND(SUM(C14:C23),3)</f>
        <v>9160.8310000000001</v>
      </c>
      <c r="D24" s="431"/>
      <c r="E24" s="430">
        <f>ROUND(SUM(E14:E23),3)</f>
        <v>4637.3670000000002</v>
      </c>
      <c r="F24" s="431"/>
      <c r="G24" s="430">
        <f>ROUND(SUM(G14:G23),3)</f>
        <v>5032.0739999999996</v>
      </c>
      <c r="H24" s="431"/>
      <c r="I24" s="430">
        <f>ROUND(SUM(I14:I23),3)</f>
        <v>3451.444</v>
      </c>
      <c r="J24" s="431"/>
      <c r="K24" s="430">
        <f>ROUND(SUM(K14:K23),3)</f>
        <v>12217.567999999999</v>
      </c>
      <c r="L24" s="3011"/>
      <c r="M24" s="2123"/>
      <c r="N24" s="2123"/>
    </row>
    <row r="25" spans="1:14" ht="8.25" customHeight="1">
      <c r="A25" s="429"/>
      <c r="B25" s="720"/>
      <c r="C25" s="719"/>
      <c r="D25" s="638"/>
      <c r="E25" s="719"/>
      <c r="F25" s="638"/>
      <c r="G25" s="719"/>
      <c r="H25" s="638"/>
      <c r="I25" s="719"/>
      <c r="J25" s="638"/>
      <c r="K25" s="719"/>
      <c r="L25" s="719"/>
      <c r="M25" s="2123"/>
      <c r="N25" s="2123"/>
    </row>
    <row r="26" spans="1:14" ht="16">
      <c r="A26" s="721"/>
      <c r="B26" s="720"/>
      <c r="C26" s="722"/>
      <c r="D26" s="720"/>
      <c r="E26" s="722"/>
      <c r="F26" s="677"/>
      <c r="G26" s="722"/>
      <c r="H26" s="677"/>
      <c r="I26" s="722"/>
      <c r="J26" s="720"/>
      <c r="K26" s="723"/>
      <c r="L26" s="723"/>
      <c r="M26" s="2123"/>
      <c r="N26" s="2123"/>
    </row>
    <row r="27" spans="1:14" ht="16">
      <c r="A27" s="432" t="s">
        <v>799</v>
      </c>
      <c r="B27" s="720"/>
      <c r="C27" s="720"/>
      <c r="D27" s="720"/>
      <c r="E27" s="720"/>
      <c r="F27" s="677"/>
      <c r="G27" s="720"/>
      <c r="H27" s="677"/>
      <c r="I27" s="720"/>
      <c r="J27" s="720"/>
      <c r="K27" s="720"/>
      <c r="L27" s="722"/>
      <c r="M27" s="2123"/>
      <c r="N27" s="2123"/>
    </row>
    <row r="28" spans="1:14">
      <c r="A28" s="721" t="s">
        <v>248</v>
      </c>
      <c r="B28" s="720"/>
      <c r="C28" s="1682">
        <v>0.80700000000000005</v>
      </c>
      <c r="D28" s="1679"/>
      <c r="E28" s="1682">
        <v>0</v>
      </c>
      <c r="F28" s="1679"/>
      <c r="G28" s="1682">
        <v>0</v>
      </c>
      <c r="H28" s="1679"/>
      <c r="I28" s="1682">
        <v>0</v>
      </c>
      <c r="J28" s="1711"/>
      <c r="K28" s="638">
        <f t="shared" ref="K28:K33" si="1">ROUND(SUM(C28)+SUM(E28)-SUM(G28)+SUM(I28),3)</f>
        <v>0.80700000000000005</v>
      </c>
      <c r="L28" s="3089"/>
      <c r="M28" s="2123"/>
    </row>
    <row r="29" spans="1:14">
      <c r="A29" s="721" t="s">
        <v>249</v>
      </c>
      <c r="B29" s="720"/>
      <c r="C29" s="1682">
        <v>70.262999999999991</v>
      </c>
      <c r="D29" s="1679"/>
      <c r="E29" s="1682">
        <v>0.879</v>
      </c>
      <c r="F29" s="1679"/>
      <c r="G29" s="1682">
        <v>0.6</v>
      </c>
      <c r="H29" s="1679"/>
      <c r="I29" s="1682">
        <v>0</v>
      </c>
      <c r="J29" s="1711"/>
      <c r="K29" s="638">
        <f t="shared" si="1"/>
        <v>70.542000000000002</v>
      </c>
      <c r="L29" s="3089"/>
      <c r="M29" s="2123"/>
      <c r="N29" s="2123"/>
    </row>
    <row r="30" spans="1:14">
      <c r="A30" s="720" t="s">
        <v>250</v>
      </c>
      <c r="B30" s="3008" t="s">
        <v>231</v>
      </c>
      <c r="C30" s="1682">
        <v>112.58799999999999</v>
      </c>
      <c r="D30" s="1679"/>
      <c r="E30" s="1682">
        <v>2.9350000000000001</v>
      </c>
      <c r="F30" s="1679"/>
      <c r="G30" s="1682">
        <v>0.14799999999999999</v>
      </c>
      <c r="H30" s="1679"/>
      <c r="I30" s="1682">
        <v>0</v>
      </c>
      <c r="J30" s="1711"/>
      <c r="K30" s="638">
        <f t="shared" si="1"/>
        <v>115.375</v>
      </c>
      <c r="L30" s="3089"/>
      <c r="M30" s="2123"/>
      <c r="N30" s="2123"/>
    </row>
    <row r="31" spans="1:14">
      <c r="A31" s="721" t="s">
        <v>251</v>
      </c>
      <c r="B31" s="3008"/>
      <c r="C31" s="1682">
        <v>4.3999999999999997E-2</v>
      </c>
      <c r="D31" s="1679"/>
      <c r="E31" s="1682">
        <v>0</v>
      </c>
      <c r="F31" s="1679"/>
      <c r="G31" s="1682">
        <v>3.1E-2</v>
      </c>
      <c r="H31" s="1679"/>
      <c r="I31" s="1682">
        <v>-0.01</v>
      </c>
      <c r="J31" s="1711"/>
      <c r="K31" s="638">
        <f t="shared" si="1"/>
        <v>3.0000000000000001E-3</v>
      </c>
      <c r="L31" s="3089"/>
      <c r="M31" s="2123"/>
      <c r="N31" s="2123"/>
    </row>
    <row r="32" spans="1:14">
      <c r="A32" s="721" t="s">
        <v>252</v>
      </c>
      <c r="B32" s="3008"/>
      <c r="C32" s="1682">
        <v>0.217</v>
      </c>
      <c r="D32" s="1679"/>
      <c r="E32" s="1682">
        <v>4.0000000000000001E-3</v>
      </c>
      <c r="F32" s="1679"/>
      <c r="G32" s="1682">
        <v>4.2999999999999997E-2</v>
      </c>
      <c r="H32" s="1679"/>
      <c r="I32" s="1682">
        <v>0.6</v>
      </c>
      <c r="J32" s="1711"/>
      <c r="K32" s="638">
        <f t="shared" si="1"/>
        <v>0.77800000000000002</v>
      </c>
      <c r="L32" s="3089"/>
      <c r="M32" s="2123"/>
      <c r="N32" s="2123"/>
    </row>
    <row r="33" spans="1:14">
      <c r="A33" s="720" t="s">
        <v>253</v>
      </c>
      <c r="B33" s="720"/>
      <c r="C33" s="1682">
        <v>8.6210000000000004</v>
      </c>
      <c r="D33" s="1679"/>
      <c r="E33" s="1682">
        <v>0.29899999999999999</v>
      </c>
      <c r="F33" s="1679"/>
      <c r="G33" s="1682">
        <v>0.189</v>
      </c>
      <c r="H33" s="1679"/>
      <c r="I33" s="1682">
        <v>-6.9000000000000006E-2</v>
      </c>
      <c r="J33" s="1711"/>
      <c r="K33" s="638">
        <f t="shared" si="1"/>
        <v>8.6620000000000008</v>
      </c>
      <c r="L33" s="3089"/>
      <c r="M33" s="2123"/>
      <c r="N33" s="2123"/>
    </row>
    <row r="34" spans="1:14">
      <c r="A34" s="720" t="s">
        <v>254</v>
      </c>
      <c r="B34" s="720"/>
      <c r="C34" s="3430"/>
      <c r="D34" s="1709"/>
      <c r="E34" s="1710"/>
      <c r="F34" s="1710"/>
      <c r="G34" s="1710"/>
      <c r="H34" s="1710"/>
      <c r="I34" s="1710"/>
      <c r="J34" s="433"/>
      <c r="K34" s="1492"/>
      <c r="L34" s="2122"/>
      <c r="M34" s="2123"/>
      <c r="N34" s="2123"/>
    </row>
    <row r="35" spans="1:14">
      <c r="A35" s="720" t="s">
        <v>255</v>
      </c>
      <c r="B35" s="720"/>
      <c r="C35" s="1682">
        <v>6.35</v>
      </c>
      <c r="D35" s="1679"/>
      <c r="E35" s="1682">
        <v>0.91</v>
      </c>
      <c r="F35" s="1679"/>
      <c r="G35" s="1682">
        <v>0.498</v>
      </c>
      <c r="H35" s="1679"/>
      <c r="I35" s="1682">
        <v>-6.8000000000000005E-2</v>
      </c>
      <c r="J35" s="1711"/>
      <c r="K35" s="638">
        <f t="shared" ref="K35:K60" si="2">ROUND(SUM(C35)+SUM(E35)-SUM(G35)+SUM(I35),3)</f>
        <v>6.694</v>
      </c>
      <c r="L35" s="2121"/>
      <c r="M35" s="2123"/>
      <c r="N35" s="2123"/>
    </row>
    <row r="36" spans="1:14">
      <c r="A36" s="720" t="s">
        <v>256</v>
      </c>
      <c r="B36" s="720"/>
      <c r="C36" s="1682">
        <v>0</v>
      </c>
      <c r="D36" s="1679"/>
      <c r="E36" s="1682">
        <v>0</v>
      </c>
      <c r="F36" s="1679"/>
      <c r="G36" s="1682">
        <v>-2E-3</v>
      </c>
      <c r="H36" s="1679"/>
      <c r="I36" s="1682">
        <v>0</v>
      </c>
      <c r="J36" s="1711"/>
      <c r="K36" s="638">
        <f t="shared" si="2"/>
        <v>2E-3</v>
      </c>
      <c r="L36" s="3089"/>
      <c r="M36" s="2123"/>
      <c r="N36" s="2123"/>
    </row>
    <row r="37" spans="1:14">
      <c r="A37" s="720" t="s">
        <v>257</v>
      </c>
      <c r="B37" s="720"/>
      <c r="C37" s="1682">
        <v>0.57799999999999996</v>
      </c>
      <c r="D37" s="1679"/>
      <c r="E37" s="1682">
        <v>0</v>
      </c>
      <c r="F37" s="1679"/>
      <c r="G37" s="1682">
        <v>0</v>
      </c>
      <c r="H37" s="1679"/>
      <c r="I37" s="1682">
        <v>0</v>
      </c>
      <c r="J37" s="1711"/>
      <c r="K37" s="638">
        <f t="shared" si="2"/>
        <v>0.57799999999999996</v>
      </c>
      <c r="L37" s="3089"/>
      <c r="M37" s="2123"/>
      <c r="N37" s="2123"/>
    </row>
    <row r="38" spans="1:14">
      <c r="A38" s="2048" t="s">
        <v>258</v>
      </c>
      <c r="B38" s="3012"/>
      <c r="C38" s="1682">
        <v>0</v>
      </c>
      <c r="D38" s="1679"/>
      <c r="E38" s="1682">
        <v>0</v>
      </c>
      <c r="F38" s="1679"/>
      <c r="G38" s="1682">
        <v>0</v>
      </c>
      <c r="H38" s="1679"/>
      <c r="I38" s="1682">
        <v>0</v>
      </c>
      <c r="J38" s="1711"/>
      <c r="K38" s="638">
        <f t="shared" si="2"/>
        <v>0</v>
      </c>
      <c r="L38" s="3089"/>
      <c r="M38" s="2123"/>
      <c r="N38" s="2123"/>
    </row>
    <row r="39" spans="1:14">
      <c r="A39" s="721" t="s">
        <v>259</v>
      </c>
      <c r="B39" s="720"/>
      <c r="C39" s="1682">
        <v>15.864000000000001</v>
      </c>
      <c r="D39" s="1679"/>
      <c r="E39" s="1682">
        <v>491.24699999999996</v>
      </c>
      <c r="F39" s="1679"/>
      <c r="G39" s="1682">
        <v>391.82799999999997</v>
      </c>
      <c r="H39" s="1679"/>
      <c r="I39" s="1682">
        <v>-0.53600000000000003</v>
      </c>
      <c r="J39" s="1711"/>
      <c r="K39" s="638">
        <f t="shared" si="2"/>
        <v>114.747</v>
      </c>
      <c r="L39" s="2121"/>
      <c r="M39" s="2123"/>
      <c r="N39" s="2123"/>
    </row>
    <row r="40" spans="1:14">
      <c r="A40" s="720" t="s">
        <v>260</v>
      </c>
      <c r="B40" s="720"/>
      <c r="C40" s="1682">
        <v>99.454999999999998</v>
      </c>
      <c r="D40" s="1679"/>
      <c r="E40" s="1712">
        <v>44.213999999999999</v>
      </c>
      <c r="F40" s="1679"/>
      <c r="G40" s="1682">
        <v>94.912999999999997</v>
      </c>
      <c r="H40" s="1679"/>
      <c r="I40" s="1682">
        <v>0</v>
      </c>
      <c r="J40" s="1711"/>
      <c r="K40" s="638">
        <f t="shared" si="2"/>
        <v>48.756</v>
      </c>
      <c r="L40" s="3089"/>
      <c r="M40" s="2123"/>
    </row>
    <row r="41" spans="1:14">
      <c r="A41" s="721" t="s">
        <v>261</v>
      </c>
      <c r="B41" s="720"/>
      <c r="C41" s="1682">
        <v>202.124</v>
      </c>
      <c r="D41" s="1679"/>
      <c r="E41" s="1682">
        <v>275.41300000000001</v>
      </c>
      <c r="F41" s="1679"/>
      <c r="G41" s="1682">
        <v>2.3239999999999998</v>
      </c>
      <c r="H41" s="1679"/>
      <c r="I41" s="1682">
        <v>0</v>
      </c>
      <c r="J41" s="1711"/>
      <c r="K41" s="638">
        <f t="shared" si="2"/>
        <v>475.21300000000002</v>
      </c>
      <c r="L41" s="3089"/>
      <c r="M41" s="2123"/>
      <c r="N41" s="2123"/>
    </row>
    <row r="42" spans="1:14">
      <c r="A42" s="721" t="s">
        <v>262</v>
      </c>
      <c r="B42" s="720"/>
      <c r="C42" s="1682">
        <v>10.978</v>
      </c>
      <c r="D42" s="1679"/>
      <c r="E42" s="1682">
        <v>2.4159999999999999</v>
      </c>
      <c r="F42" s="1679"/>
      <c r="G42" s="1682">
        <v>1.044</v>
      </c>
      <c r="H42" s="1679"/>
      <c r="I42" s="1682">
        <v>0</v>
      </c>
      <c r="J42" s="1711"/>
      <c r="K42" s="638">
        <f t="shared" si="2"/>
        <v>12.35</v>
      </c>
      <c r="L42" s="3089"/>
      <c r="M42" s="2123"/>
      <c r="N42" s="2123"/>
    </row>
    <row r="43" spans="1:14">
      <c r="A43" s="720" t="s">
        <v>263</v>
      </c>
      <c r="B43" s="720"/>
      <c r="C43" s="1682">
        <v>-3.2330000000000001</v>
      </c>
      <c r="D43" s="1679"/>
      <c r="E43" s="1682">
        <v>0</v>
      </c>
      <c r="F43" s="1679"/>
      <c r="G43" s="1682">
        <v>0.05</v>
      </c>
      <c r="H43" s="1679"/>
      <c r="I43" s="1682">
        <v>0</v>
      </c>
      <c r="J43" s="1711"/>
      <c r="K43" s="638">
        <f t="shared" si="2"/>
        <v>-3.2829999999999999</v>
      </c>
      <c r="L43" s="3089"/>
      <c r="M43" s="2123"/>
      <c r="N43" s="2123"/>
    </row>
    <row r="44" spans="1:14">
      <c r="A44" s="720" t="s">
        <v>1114</v>
      </c>
      <c r="B44" s="720"/>
      <c r="C44" s="1682">
        <v>1.6879999999999999</v>
      </c>
      <c r="D44" s="1679"/>
      <c r="E44" s="1682">
        <v>4.4939999999999998</v>
      </c>
      <c r="F44" s="1679"/>
      <c r="G44" s="1682">
        <v>5.9039999999999999</v>
      </c>
      <c r="H44" s="1679"/>
      <c r="I44" s="1682">
        <v>0</v>
      </c>
      <c r="J44" s="1711"/>
      <c r="K44" s="638">
        <f t="shared" si="2"/>
        <v>0.27800000000000002</v>
      </c>
      <c r="L44" s="2121"/>
      <c r="M44" s="2123"/>
      <c r="N44" s="2123"/>
    </row>
    <row r="45" spans="1:14">
      <c r="A45" s="720" t="s">
        <v>264</v>
      </c>
      <c r="B45" s="720"/>
      <c r="C45" s="1682">
        <v>99.087999999999994</v>
      </c>
      <c r="D45" s="1679"/>
      <c r="E45" s="1682">
        <v>2.3660000000000001</v>
      </c>
      <c r="F45" s="1679"/>
      <c r="G45" s="1682">
        <v>2.3340000000000001</v>
      </c>
      <c r="H45" s="1679"/>
      <c r="I45" s="1682">
        <v>0</v>
      </c>
      <c r="J45" s="1711"/>
      <c r="K45" s="638">
        <f t="shared" si="2"/>
        <v>99.12</v>
      </c>
      <c r="L45" s="3089"/>
      <c r="M45" s="2123"/>
      <c r="N45" s="2123"/>
    </row>
    <row r="46" spans="1:14">
      <c r="A46" s="720" t="s">
        <v>265</v>
      </c>
      <c r="B46" s="720"/>
      <c r="C46" s="1682">
        <v>11.538</v>
      </c>
      <c r="D46" s="1679"/>
      <c r="E46" s="1682">
        <v>3.0910000000000002</v>
      </c>
      <c r="F46" s="1679"/>
      <c r="G46" s="1682">
        <v>1.5589999999999999</v>
      </c>
      <c r="H46" s="1679"/>
      <c r="I46" s="1682">
        <v>-0.73199999999999998</v>
      </c>
      <c r="J46" s="1711"/>
      <c r="K46" s="638">
        <f t="shared" si="2"/>
        <v>12.337999999999999</v>
      </c>
      <c r="L46" s="3089" t="s">
        <v>14</v>
      </c>
      <c r="M46" s="2123"/>
      <c r="N46" s="2123"/>
    </row>
    <row r="47" spans="1:14">
      <c r="A47" s="720" t="s">
        <v>266</v>
      </c>
      <c r="B47" s="720"/>
      <c r="C47" s="1682">
        <v>2.794</v>
      </c>
      <c r="D47" s="1679"/>
      <c r="E47" s="1682">
        <v>7.0049999999999999</v>
      </c>
      <c r="F47" s="1679"/>
      <c r="G47" s="1682">
        <v>3.1070000000000002</v>
      </c>
      <c r="H47" s="1679"/>
      <c r="I47" s="1682">
        <v>0</v>
      </c>
      <c r="J47" s="1711"/>
      <c r="K47" s="638">
        <f t="shared" si="2"/>
        <v>6.6920000000000002</v>
      </c>
      <c r="L47" s="3089"/>
      <c r="M47" s="2123"/>
      <c r="N47" s="2123"/>
    </row>
    <row r="48" spans="1:14">
      <c r="A48" s="720" t="s">
        <v>267</v>
      </c>
      <c r="B48" s="720"/>
      <c r="C48" s="1682">
        <v>10.823</v>
      </c>
      <c r="D48" s="1679"/>
      <c r="E48" s="1682">
        <v>0.52600000000000002</v>
      </c>
      <c r="F48" s="1679"/>
      <c r="G48" s="1682">
        <v>0.19</v>
      </c>
      <c r="H48" s="1679"/>
      <c r="I48" s="1682">
        <v>0</v>
      </c>
      <c r="J48" s="1711"/>
      <c r="K48" s="638">
        <f t="shared" si="2"/>
        <v>11.159000000000001</v>
      </c>
      <c r="L48" s="3089"/>
      <c r="M48" s="2123"/>
      <c r="N48" s="2123"/>
    </row>
    <row r="49" spans="1:14">
      <c r="A49" s="721" t="s">
        <v>268</v>
      </c>
      <c r="B49" s="720"/>
      <c r="C49" s="1682">
        <v>0.52600000000000002</v>
      </c>
      <c r="D49" s="1679"/>
      <c r="E49" s="1682">
        <v>6.0000000000000001E-3</v>
      </c>
      <c r="F49" s="1679"/>
      <c r="G49" s="1682">
        <v>0</v>
      </c>
      <c r="H49" s="1679"/>
      <c r="I49" s="1682">
        <v>0</v>
      </c>
      <c r="J49" s="1711"/>
      <c r="K49" s="638">
        <f t="shared" si="2"/>
        <v>0.53200000000000003</v>
      </c>
      <c r="L49" s="3089"/>
      <c r="M49" s="2123"/>
      <c r="N49" s="2123"/>
    </row>
    <row r="50" spans="1:14">
      <c r="A50" s="720" t="s">
        <v>269</v>
      </c>
      <c r="B50" s="720"/>
      <c r="C50" s="1682">
        <v>283.77099999999996</v>
      </c>
      <c r="D50" s="1679"/>
      <c r="E50" s="1682">
        <v>289.04199999999997</v>
      </c>
      <c r="F50" s="1679"/>
      <c r="G50" s="1682">
        <v>79.528999999999996</v>
      </c>
      <c r="H50" s="1679"/>
      <c r="I50" s="1682">
        <v>3.4750000000000001</v>
      </c>
      <c r="J50" s="1711"/>
      <c r="K50" s="638">
        <f t="shared" si="2"/>
        <v>496.75900000000001</v>
      </c>
      <c r="L50" s="3089"/>
      <c r="M50" s="2123"/>
      <c r="N50" s="2123"/>
    </row>
    <row r="51" spans="1:14">
      <c r="A51" s="720" t="s">
        <v>270</v>
      </c>
      <c r="B51" s="720"/>
      <c r="C51" s="1682">
        <v>-33.081000000000003</v>
      </c>
      <c r="D51" s="1679"/>
      <c r="E51" s="1682">
        <v>3.218</v>
      </c>
      <c r="F51" s="1679"/>
      <c r="G51" s="1682">
        <v>2.6179999999999999</v>
      </c>
      <c r="H51" s="1679"/>
      <c r="I51" s="1682">
        <v>0</v>
      </c>
      <c r="J51" s="1711"/>
      <c r="K51" s="638">
        <f t="shared" si="2"/>
        <v>-32.481000000000002</v>
      </c>
      <c r="L51" s="3089"/>
      <c r="M51" s="2123"/>
      <c r="N51" s="2123"/>
    </row>
    <row r="52" spans="1:14">
      <c r="A52" s="720" t="s">
        <v>271</v>
      </c>
      <c r="B52" s="720"/>
      <c r="C52" s="1682">
        <v>7.0999999999999994E-2</v>
      </c>
      <c r="D52" s="1679"/>
      <c r="E52" s="1682">
        <v>0</v>
      </c>
      <c r="F52" s="1679"/>
      <c r="G52" s="1682">
        <v>0</v>
      </c>
      <c r="H52" s="1679"/>
      <c r="I52" s="1682">
        <v>0</v>
      </c>
      <c r="J52" s="1711"/>
      <c r="K52" s="638">
        <f t="shared" si="2"/>
        <v>7.0999999999999994E-2</v>
      </c>
      <c r="L52" s="3089"/>
      <c r="M52" s="2123"/>
      <c r="N52" s="2123"/>
    </row>
    <row r="53" spans="1:14">
      <c r="A53" s="720" t="s">
        <v>905</v>
      </c>
      <c r="B53" s="720"/>
      <c r="C53" s="1682">
        <v>12.608000000000001</v>
      </c>
      <c r="D53" s="1679"/>
      <c r="E53" s="1682">
        <v>0.17299999999999999</v>
      </c>
      <c r="F53" s="1679"/>
      <c r="G53" s="1682">
        <v>0.23100000000000001</v>
      </c>
      <c r="H53" s="1679"/>
      <c r="I53" s="1682">
        <v>0</v>
      </c>
      <c r="J53" s="1711"/>
      <c r="K53" s="638">
        <f t="shared" si="2"/>
        <v>12.55</v>
      </c>
      <c r="L53" s="3089"/>
      <c r="M53" s="2123"/>
      <c r="N53" s="2123"/>
    </row>
    <row r="54" spans="1:14">
      <c r="A54" s="720" t="s">
        <v>272</v>
      </c>
      <c r="B54" s="720"/>
      <c r="C54" s="1682">
        <v>0</v>
      </c>
      <c r="D54" s="1679"/>
      <c r="E54" s="1682">
        <v>0</v>
      </c>
      <c r="F54" s="1679"/>
      <c r="G54" s="1682">
        <v>0</v>
      </c>
      <c r="H54" s="1679"/>
      <c r="I54" s="1682">
        <v>0</v>
      </c>
      <c r="J54" s="1711"/>
      <c r="K54" s="638">
        <f t="shared" si="2"/>
        <v>0</v>
      </c>
      <c r="L54" s="3089"/>
      <c r="M54" s="2123"/>
    </row>
    <row r="55" spans="1:14">
      <c r="A55" s="721" t="s">
        <v>273</v>
      </c>
      <c r="B55" s="720"/>
      <c r="C55" s="1682">
        <v>0.46899999999999997</v>
      </c>
      <c r="D55" s="1679"/>
      <c r="E55" s="1682">
        <v>0</v>
      </c>
      <c r="F55" s="1679"/>
      <c r="G55" s="1682">
        <v>0</v>
      </c>
      <c r="H55" s="1679"/>
      <c r="I55" s="1682">
        <v>0</v>
      </c>
      <c r="J55" s="1711"/>
      <c r="K55" s="638">
        <f t="shared" si="2"/>
        <v>0.46899999999999997</v>
      </c>
      <c r="L55" s="2121"/>
      <c r="M55" s="2123"/>
      <c r="N55" s="2123"/>
    </row>
    <row r="56" spans="1:14">
      <c r="A56" s="721" t="s">
        <v>274</v>
      </c>
      <c r="B56" s="720"/>
      <c r="C56" s="1682">
        <v>0</v>
      </c>
      <c r="D56" s="1679"/>
      <c r="E56" s="1682">
        <v>0</v>
      </c>
      <c r="F56" s="1679"/>
      <c r="G56" s="1682">
        <v>0</v>
      </c>
      <c r="H56" s="1679"/>
      <c r="I56" s="1682">
        <v>0</v>
      </c>
      <c r="J56" s="1711"/>
      <c r="K56" s="638">
        <f t="shared" si="2"/>
        <v>0</v>
      </c>
      <c r="L56" s="3089"/>
      <c r="M56" s="2123"/>
      <c r="N56" s="2123"/>
    </row>
    <row r="57" spans="1:14">
      <c r="A57" s="721" t="s">
        <v>275</v>
      </c>
      <c r="B57" s="720"/>
      <c r="C57" s="1682">
        <v>0</v>
      </c>
      <c r="D57" s="1679"/>
      <c r="E57" s="1682">
        <v>0</v>
      </c>
      <c r="F57" s="1679"/>
      <c r="G57" s="1682">
        <v>0</v>
      </c>
      <c r="H57" s="1679"/>
      <c r="I57" s="1682">
        <v>0</v>
      </c>
      <c r="J57" s="1711"/>
      <c r="K57" s="638">
        <f t="shared" si="2"/>
        <v>0</v>
      </c>
      <c r="L57" s="3089"/>
      <c r="M57" s="2123"/>
      <c r="N57" s="2123"/>
    </row>
    <row r="58" spans="1:14">
      <c r="A58" s="721" t="s">
        <v>1277</v>
      </c>
      <c r="B58" s="720"/>
      <c r="C58" s="1682">
        <v>0.65900000000000003</v>
      </c>
      <c r="D58" s="1679"/>
      <c r="E58" s="1682">
        <v>2E-3</v>
      </c>
      <c r="F58" s="1679"/>
      <c r="G58" s="1682">
        <v>0</v>
      </c>
      <c r="H58" s="1679"/>
      <c r="I58" s="1682">
        <v>0</v>
      </c>
      <c r="J58" s="1711"/>
      <c r="K58" s="638">
        <f t="shared" si="2"/>
        <v>0.66100000000000003</v>
      </c>
      <c r="L58" s="3089"/>
      <c r="M58" s="2123"/>
      <c r="N58" s="2123"/>
    </row>
    <row r="59" spans="1:14">
      <c r="A59" s="721" t="s">
        <v>276</v>
      </c>
      <c r="B59" s="720"/>
      <c r="C59" s="1682">
        <v>1576.567</v>
      </c>
      <c r="D59" s="1679"/>
      <c r="E59" s="1682">
        <v>254.94200000000001</v>
      </c>
      <c r="F59" s="1679"/>
      <c r="G59" s="1682">
        <v>184.04599999999999</v>
      </c>
      <c r="H59" s="1679"/>
      <c r="I59" s="1682">
        <v>32.088000000000001</v>
      </c>
      <c r="J59" s="1711"/>
      <c r="K59" s="638">
        <f t="shared" si="2"/>
        <v>1679.5509999999999</v>
      </c>
      <c r="L59" s="3089"/>
      <c r="M59" s="3013"/>
      <c r="N59" s="2123"/>
    </row>
    <row r="60" spans="1:14">
      <c r="A60" s="720" t="s">
        <v>277</v>
      </c>
      <c r="B60" s="720"/>
      <c r="C60" s="1682">
        <v>17.556999999999999</v>
      </c>
      <c r="D60" s="1679"/>
      <c r="E60" s="1682">
        <v>0.245</v>
      </c>
      <c r="F60" s="1679"/>
      <c r="G60" s="1682">
        <v>3.0110000000000001</v>
      </c>
      <c r="H60" s="1679"/>
      <c r="I60" s="1682">
        <v>38.402000000000001</v>
      </c>
      <c r="J60" s="1711"/>
      <c r="K60" s="638">
        <f t="shared" si="2"/>
        <v>53.192999999999998</v>
      </c>
      <c r="L60" s="3089"/>
      <c r="M60" s="725"/>
      <c r="N60" s="2123"/>
    </row>
    <row r="61" spans="1:14">
      <c r="A61" s="720"/>
      <c r="B61" s="720"/>
      <c r="C61" s="1682"/>
      <c r="D61" s="1679"/>
      <c r="E61" s="1682"/>
      <c r="F61" s="1679"/>
      <c r="G61" s="1682"/>
      <c r="H61" s="1679"/>
      <c r="I61" s="1682"/>
      <c r="J61" s="1711"/>
      <c r="K61" s="638"/>
      <c r="L61" s="2121"/>
      <c r="M61" s="432"/>
      <c r="N61" s="2123"/>
    </row>
    <row r="62" spans="1:14">
      <c r="A62" s="432" t="s">
        <v>844</v>
      </c>
      <c r="B62" s="720"/>
      <c r="C62" s="1682"/>
      <c r="D62" s="1679"/>
      <c r="E62" s="1682"/>
      <c r="F62" s="1679"/>
      <c r="G62" s="1682"/>
      <c r="H62" s="1679"/>
      <c r="I62" s="1682"/>
      <c r="J62" s="1711"/>
      <c r="K62" s="638"/>
      <c r="L62" s="2121"/>
      <c r="M62" s="432"/>
      <c r="N62" s="2123"/>
    </row>
    <row r="63" spans="1:14">
      <c r="A63" s="720" t="s">
        <v>278</v>
      </c>
      <c r="B63" s="1711"/>
      <c r="C63" s="1682">
        <v>5.2999999999999999E-2</v>
      </c>
      <c r="D63" s="1679"/>
      <c r="E63" s="1682">
        <v>0</v>
      </c>
      <c r="F63" s="1679"/>
      <c r="G63" s="1682">
        <v>0</v>
      </c>
      <c r="H63" s="1679"/>
      <c r="I63" s="1682">
        <v>0</v>
      </c>
      <c r="J63" s="1711"/>
      <c r="K63" s="638">
        <f>ROUND(SUM(C63)+SUM(E63)-SUM(G63)+SUM(I63),3)</f>
        <v>5.2999999999999999E-2</v>
      </c>
      <c r="L63" s="2121"/>
      <c r="M63" s="2123"/>
      <c r="N63" s="2123"/>
    </row>
    <row r="64" spans="1:14">
      <c r="A64" s="720" t="s">
        <v>279</v>
      </c>
      <c r="B64" s="720"/>
      <c r="C64" s="1682">
        <v>1950.6510000000001</v>
      </c>
      <c r="D64" s="1679"/>
      <c r="E64" s="1682">
        <v>227.08799999999999</v>
      </c>
      <c r="F64" s="1679"/>
      <c r="G64" s="1682">
        <v>500.60500000000002</v>
      </c>
      <c r="H64" s="1679"/>
      <c r="I64" s="1682">
        <v>117.845</v>
      </c>
      <c r="J64" s="1711"/>
      <c r="K64" s="638">
        <f>ROUND(SUM(C64)+SUM(E64)-SUM(G64)+SUM(I64),3)</f>
        <v>1794.979</v>
      </c>
      <c r="L64" s="3089"/>
      <c r="M64" s="2123"/>
      <c r="N64" s="2123"/>
    </row>
    <row r="65" spans="1:14">
      <c r="A65" s="721" t="s">
        <v>280</v>
      </c>
      <c r="B65" s="720"/>
      <c r="C65" s="1682">
        <v>5.6340000000000003</v>
      </c>
      <c r="D65" s="1679"/>
      <c r="E65" s="1682">
        <v>0.03</v>
      </c>
      <c r="F65" s="1679"/>
      <c r="G65" s="1682">
        <v>0.04</v>
      </c>
      <c r="H65" s="1679"/>
      <c r="I65" s="1682">
        <v>0</v>
      </c>
      <c r="J65" s="1711"/>
      <c r="K65" s="638">
        <f>ROUND(SUM(C65)+SUM(E65)-SUM(G65)+SUM(I65),3)</f>
        <v>5.6239999999999997</v>
      </c>
      <c r="L65" s="3089"/>
      <c r="M65" s="2123"/>
      <c r="N65" s="2123"/>
    </row>
    <row r="66" spans="1:14">
      <c r="A66" s="720" t="s">
        <v>281</v>
      </c>
      <c r="B66" s="720"/>
      <c r="C66" s="1682">
        <v>0.51900000000000002</v>
      </c>
      <c r="D66" s="1679"/>
      <c r="E66" s="1682">
        <v>0</v>
      </c>
      <c r="F66" s="1679"/>
      <c r="G66" s="1682">
        <v>6.8000000000000005E-2</v>
      </c>
      <c r="H66" s="1679"/>
      <c r="I66" s="1682">
        <v>0</v>
      </c>
      <c r="J66" s="1711"/>
      <c r="K66" s="638">
        <f>ROUND(SUM(C66)+SUM(E66)-SUM(G66)+SUM(I66),3)</f>
        <v>0.45100000000000001</v>
      </c>
      <c r="L66" s="3089"/>
      <c r="M66" s="2123"/>
      <c r="N66" s="2123"/>
    </row>
    <row r="67" spans="1:14">
      <c r="A67" s="720" t="s">
        <v>282</v>
      </c>
      <c r="B67" s="720"/>
      <c r="C67" s="3430"/>
      <c r="D67" s="1709"/>
      <c r="E67" s="1712"/>
      <c r="F67" s="1713"/>
      <c r="G67" s="1712"/>
      <c r="H67" s="1713"/>
      <c r="I67" s="1714"/>
      <c r="J67" s="720"/>
      <c r="K67" s="638" t="s">
        <v>14</v>
      </c>
      <c r="L67" s="3089"/>
      <c r="M67" s="2123"/>
      <c r="N67" s="2123"/>
    </row>
    <row r="68" spans="1:14">
      <c r="A68" s="720" t="s">
        <v>283</v>
      </c>
      <c r="B68" s="720"/>
      <c r="C68" s="1682">
        <v>12.941000000000001</v>
      </c>
      <c r="D68" s="1679"/>
      <c r="E68" s="1682">
        <v>11.451000000000001</v>
      </c>
      <c r="F68" s="1679"/>
      <c r="G68" s="1682">
        <v>7.2999999999999995E-2</v>
      </c>
      <c r="H68" s="1679"/>
      <c r="I68" s="1682">
        <v>0</v>
      </c>
      <c r="J68" s="1711"/>
      <c r="K68" s="638">
        <f t="shared" ref="K68:K73" si="3">ROUND(SUM(C68)+SUM(E68)-SUM(G68)+SUM(I68),3)</f>
        <v>24.318999999999999</v>
      </c>
      <c r="L68" s="3089"/>
      <c r="M68" s="2123"/>
      <c r="N68" s="725"/>
    </row>
    <row r="69" spans="1:14">
      <c r="A69" s="720" t="s">
        <v>284</v>
      </c>
      <c r="B69" s="434"/>
      <c r="C69" s="1682">
        <v>0.59699999999999998</v>
      </c>
      <c r="D69" s="1679"/>
      <c r="E69" s="1682">
        <v>0</v>
      </c>
      <c r="F69" s="1679"/>
      <c r="G69" s="1682">
        <v>1.0999999999999999E-2</v>
      </c>
      <c r="H69" s="1679"/>
      <c r="I69" s="1682">
        <v>0</v>
      </c>
      <c r="J69" s="1711"/>
      <c r="K69" s="638">
        <f t="shared" si="3"/>
        <v>0.58599999999999997</v>
      </c>
      <c r="L69" s="3089"/>
      <c r="M69" s="2123"/>
      <c r="N69" s="2123"/>
    </row>
    <row r="70" spans="1:14">
      <c r="A70" s="720" t="s">
        <v>285</v>
      </c>
      <c r="B70" s="720"/>
      <c r="C70" s="1682">
        <v>2.4E-2</v>
      </c>
      <c r="D70" s="1679"/>
      <c r="E70" s="1682">
        <v>0</v>
      </c>
      <c r="F70" s="1679"/>
      <c r="G70" s="1682">
        <v>0</v>
      </c>
      <c r="H70" s="1679"/>
      <c r="I70" s="1682">
        <v>0</v>
      </c>
      <c r="J70" s="1711"/>
      <c r="K70" s="638">
        <f t="shared" si="3"/>
        <v>2.4E-2</v>
      </c>
      <c r="L70" s="3089"/>
      <c r="M70" s="2123"/>
      <c r="N70" s="2123"/>
    </row>
    <row r="71" spans="1:14">
      <c r="A71" s="721" t="s">
        <v>286</v>
      </c>
      <c r="B71" s="720"/>
      <c r="C71" s="1682">
        <v>11.037000000000001</v>
      </c>
      <c r="D71" s="1679"/>
      <c r="E71" s="1682">
        <v>1E-3</v>
      </c>
      <c r="F71" s="1679"/>
      <c r="G71" s="1682">
        <v>0.105</v>
      </c>
      <c r="H71" s="1679"/>
      <c r="I71" s="1682">
        <v>0</v>
      </c>
      <c r="J71" s="1711"/>
      <c r="K71" s="638">
        <f t="shared" si="3"/>
        <v>10.933</v>
      </c>
      <c r="L71" s="3089"/>
      <c r="M71" s="2123"/>
      <c r="N71" s="2123"/>
    </row>
    <row r="72" spans="1:14">
      <c r="A72" s="720" t="s">
        <v>287</v>
      </c>
      <c r="B72" s="720"/>
      <c r="C72" s="1682">
        <v>-16.991</v>
      </c>
      <c r="D72" s="1679"/>
      <c r="E72" s="1682">
        <v>0.13300000000000001</v>
      </c>
      <c r="F72" s="1679"/>
      <c r="G72" s="1682">
        <v>0.245</v>
      </c>
      <c r="H72" s="1679"/>
      <c r="I72" s="1682">
        <v>0</v>
      </c>
      <c r="J72" s="1711"/>
      <c r="K72" s="638">
        <f t="shared" si="3"/>
        <v>-17.103000000000002</v>
      </c>
      <c r="L72" s="3089"/>
      <c r="M72" s="2123"/>
      <c r="N72" s="2123"/>
    </row>
    <row r="73" spans="1:14">
      <c r="A73" s="720" t="s">
        <v>288</v>
      </c>
      <c r="B73" s="720"/>
      <c r="C73" s="1682">
        <v>0.06</v>
      </c>
      <c r="D73" s="1679"/>
      <c r="E73" s="1682">
        <v>6.0000000000000001E-3</v>
      </c>
      <c r="F73" s="1679"/>
      <c r="G73" s="1682">
        <v>1E-3</v>
      </c>
      <c r="H73" s="1679"/>
      <c r="I73" s="1682">
        <v>0</v>
      </c>
      <c r="J73" s="1711"/>
      <c r="K73" s="638">
        <f t="shared" si="3"/>
        <v>6.5000000000000002E-2</v>
      </c>
      <c r="L73" s="2121"/>
      <c r="M73" s="2123"/>
      <c r="N73" s="2123"/>
    </row>
    <row r="74" spans="1:14">
      <c r="A74" s="720" t="s">
        <v>289</v>
      </c>
      <c r="B74" s="720"/>
      <c r="C74" s="3430"/>
      <c r="D74" s="1709"/>
      <c r="E74" s="1712"/>
      <c r="F74" s="1713"/>
      <c r="G74" s="1712"/>
      <c r="H74" s="1713"/>
      <c r="I74" s="1712"/>
      <c r="J74" s="720"/>
      <c r="K74" s="638"/>
      <c r="L74" s="2124"/>
      <c r="M74" s="2123"/>
      <c r="N74" s="2123"/>
    </row>
    <row r="75" spans="1:14">
      <c r="A75" s="720" t="s">
        <v>290</v>
      </c>
      <c r="B75" s="720"/>
      <c r="C75" s="1682">
        <v>-5.351</v>
      </c>
      <c r="D75" s="1679"/>
      <c r="E75" s="1682">
        <v>0</v>
      </c>
      <c r="F75" s="1679"/>
      <c r="G75" s="1682">
        <v>0</v>
      </c>
      <c r="H75" s="1679"/>
      <c r="I75" s="1682">
        <v>0</v>
      </c>
      <c r="J75" s="1711"/>
      <c r="K75" s="638">
        <f t="shared" ref="K75:K88" si="4">ROUND(SUM(C75)+SUM(E75)-SUM(G75)+SUM(I75),3)</f>
        <v>-5.351</v>
      </c>
      <c r="L75" s="3089"/>
      <c r="M75" s="2123"/>
      <c r="N75" s="2123"/>
    </row>
    <row r="76" spans="1:14">
      <c r="A76" s="720" t="s">
        <v>291</v>
      </c>
      <c r="B76" s="720"/>
      <c r="C76" s="1682">
        <v>-26.556999999999999</v>
      </c>
      <c r="D76" s="1679"/>
      <c r="E76" s="1682">
        <v>0</v>
      </c>
      <c r="F76" s="1679"/>
      <c r="G76" s="1712">
        <v>6.55</v>
      </c>
      <c r="H76" s="1679"/>
      <c r="I76" s="1682">
        <v>2.1429999999999998</v>
      </c>
      <c r="J76" s="1711"/>
      <c r="K76" s="638">
        <f t="shared" si="4"/>
        <v>-30.963999999999999</v>
      </c>
      <c r="L76" s="3089"/>
      <c r="M76" s="2123"/>
      <c r="N76" s="2123"/>
    </row>
    <row r="77" spans="1:14">
      <c r="A77" s="720" t="s">
        <v>292</v>
      </c>
      <c r="B77" s="720"/>
      <c r="C77" s="1682">
        <v>66.198999999999998</v>
      </c>
      <c r="D77" s="1679"/>
      <c r="E77" s="1682">
        <v>3.7709999999999999</v>
      </c>
      <c r="F77" s="1679"/>
      <c r="G77" s="1682">
        <v>8.0280000000000005</v>
      </c>
      <c r="H77" s="1679"/>
      <c r="I77" s="1682">
        <v>0</v>
      </c>
      <c r="J77" s="1711"/>
      <c r="K77" s="638">
        <f t="shared" si="4"/>
        <v>61.942</v>
      </c>
      <c r="L77" s="2121"/>
      <c r="M77" s="2123"/>
      <c r="N77" s="2123"/>
    </row>
    <row r="78" spans="1:14">
      <c r="A78" s="720" t="s">
        <v>293</v>
      </c>
      <c r="B78" s="720"/>
      <c r="C78" s="1682">
        <v>0.24099999999999999</v>
      </c>
      <c r="D78" s="1679"/>
      <c r="E78" s="1682">
        <v>4.0000000000000001E-3</v>
      </c>
      <c r="F78" s="1679"/>
      <c r="G78" s="1682">
        <v>0</v>
      </c>
      <c r="H78" s="1679"/>
      <c r="I78" s="1682">
        <v>0</v>
      </c>
      <c r="J78" s="1711"/>
      <c r="K78" s="638">
        <f t="shared" si="4"/>
        <v>0.245</v>
      </c>
      <c r="L78" s="2121"/>
      <c r="M78" s="2123"/>
      <c r="N78" s="2123"/>
    </row>
    <row r="79" spans="1:14">
      <c r="A79" s="721" t="s">
        <v>294</v>
      </c>
      <c r="B79" s="720"/>
      <c r="C79" s="1682">
        <v>532.38800000000003</v>
      </c>
      <c r="D79" s="1679"/>
      <c r="E79" s="1682">
        <v>17.303999999999998</v>
      </c>
      <c r="F79" s="1679"/>
      <c r="G79" s="1682">
        <v>15.021000000000001</v>
      </c>
      <c r="H79" s="1679"/>
      <c r="I79" s="1682">
        <v>0</v>
      </c>
      <c r="J79" s="1711"/>
      <c r="K79" s="638">
        <f t="shared" si="4"/>
        <v>534.67100000000005</v>
      </c>
      <c r="L79" s="3089"/>
      <c r="M79" s="2123"/>
      <c r="N79" s="2123"/>
    </row>
    <row r="80" spans="1:14">
      <c r="A80" s="720" t="s">
        <v>295</v>
      </c>
      <c r="B80" s="720"/>
      <c r="C80" s="1682">
        <v>25.478999999999999</v>
      </c>
      <c r="D80" s="1679"/>
      <c r="E80" s="1682">
        <v>2E-3</v>
      </c>
      <c r="F80" s="1679"/>
      <c r="G80" s="1682">
        <v>0.29199999999999998</v>
      </c>
      <c r="H80" s="1679"/>
      <c r="I80" s="1682">
        <v>0</v>
      </c>
      <c r="J80" s="1711"/>
      <c r="K80" s="638">
        <f t="shared" si="4"/>
        <v>25.189</v>
      </c>
      <c r="L80" s="2121"/>
      <c r="M80" s="2123"/>
      <c r="N80" s="2123"/>
    </row>
    <row r="81" spans="1:15">
      <c r="A81" s="721" t="s">
        <v>296</v>
      </c>
      <c r="B81" s="720"/>
      <c r="C81" s="1682">
        <v>127.598</v>
      </c>
      <c r="D81" s="1679"/>
      <c r="E81" s="1682">
        <v>0.01</v>
      </c>
      <c r="F81" s="1679"/>
      <c r="G81" s="1682">
        <v>24.901</v>
      </c>
      <c r="H81" s="1679"/>
      <c r="I81" s="1682">
        <v>61.475000000000001</v>
      </c>
      <c r="J81" s="1711"/>
      <c r="K81" s="638">
        <f t="shared" si="4"/>
        <v>164.18199999999999</v>
      </c>
      <c r="L81" s="3089"/>
      <c r="M81" s="2123"/>
      <c r="N81" s="2123"/>
    </row>
    <row r="82" spans="1:15">
      <c r="A82" s="721" t="s">
        <v>1113</v>
      </c>
      <c r="B82" s="720"/>
      <c r="C82" s="1682">
        <v>9.7679999999999989</v>
      </c>
      <c r="D82" s="1679"/>
      <c r="E82" s="1682">
        <v>15.192</v>
      </c>
      <c r="F82" s="1679"/>
      <c r="G82" s="1682">
        <v>8.6639999999999997</v>
      </c>
      <c r="H82" s="1679"/>
      <c r="I82" s="1682">
        <v>0</v>
      </c>
      <c r="J82" s="1711"/>
      <c r="K82" s="638">
        <f t="shared" si="4"/>
        <v>16.295999999999999</v>
      </c>
      <c r="L82" s="3089"/>
      <c r="M82" s="2123"/>
      <c r="N82" s="2123"/>
    </row>
    <row r="83" spans="1:15">
      <c r="A83" s="721" t="s">
        <v>1191</v>
      </c>
      <c r="B83" s="720"/>
      <c r="C83" s="1682">
        <v>17.774999999999999</v>
      </c>
      <c r="D83" s="1679"/>
      <c r="E83" s="1682">
        <v>1.5760000000000001</v>
      </c>
      <c r="F83" s="1679"/>
      <c r="G83" s="1682">
        <v>0.25600000000000001</v>
      </c>
      <c r="H83" s="1679"/>
      <c r="I83" s="1682">
        <v>0</v>
      </c>
      <c r="J83" s="1711"/>
      <c r="K83" s="638">
        <f t="shared" si="4"/>
        <v>19.094999999999999</v>
      </c>
      <c r="L83" s="2121"/>
      <c r="M83" s="2123"/>
      <c r="N83" s="2123"/>
    </row>
    <row r="84" spans="1:15">
      <c r="A84" s="721" t="s">
        <v>1171</v>
      </c>
      <c r="B84" s="720"/>
      <c r="C84" s="1682">
        <v>4.556</v>
      </c>
      <c r="D84" s="1679"/>
      <c r="E84" s="1682">
        <v>0.35899999999999999</v>
      </c>
      <c r="F84" s="1679"/>
      <c r="G84" s="1682">
        <v>3.3000000000000002E-2</v>
      </c>
      <c r="H84" s="1679"/>
      <c r="I84" s="1682">
        <v>-0.01</v>
      </c>
      <c r="J84" s="1711"/>
      <c r="K84" s="638">
        <f t="shared" si="4"/>
        <v>4.8719999999999999</v>
      </c>
      <c r="L84" s="3089"/>
      <c r="M84" s="2123"/>
      <c r="N84" s="2123"/>
    </row>
    <row r="85" spans="1:15">
      <c r="A85" s="721" t="s">
        <v>1228</v>
      </c>
      <c r="B85" s="720"/>
      <c r="C85" s="1682">
        <v>254.63900000000001</v>
      </c>
      <c r="D85" s="1679"/>
      <c r="E85" s="1682">
        <v>3.5999999999999997E-2</v>
      </c>
      <c r="F85" s="1679"/>
      <c r="G85" s="1682">
        <v>0</v>
      </c>
      <c r="H85" s="1679"/>
      <c r="I85" s="1682">
        <v>0</v>
      </c>
      <c r="J85" s="1711"/>
      <c r="K85" s="638">
        <f t="shared" si="4"/>
        <v>254.67500000000001</v>
      </c>
      <c r="L85" s="3089"/>
      <c r="M85" s="2123"/>
      <c r="N85" s="2123"/>
    </row>
    <row r="86" spans="1:15">
      <c r="A86" s="721" t="s">
        <v>1267</v>
      </c>
      <c r="B86" s="720"/>
      <c r="C86" s="1682">
        <v>0</v>
      </c>
      <c r="D86" s="1679"/>
      <c r="E86" s="1682">
        <v>5.0000000000000001E-3</v>
      </c>
      <c r="F86" s="1679"/>
      <c r="G86" s="1682">
        <v>0</v>
      </c>
      <c r="H86" s="1679"/>
      <c r="I86" s="1682">
        <v>0</v>
      </c>
      <c r="J86" s="1711"/>
      <c r="K86" s="638">
        <f t="shared" si="4"/>
        <v>5.0000000000000001E-3</v>
      </c>
      <c r="L86" s="3089"/>
      <c r="M86" s="2123"/>
      <c r="N86" s="2123"/>
    </row>
    <row r="87" spans="1:15">
      <c r="A87" s="721" t="s">
        <v>1183</v>
      </c>
      <c r="B87" s="720"/>
      <c r="C87" s="1682">
        <v>20.074999999999999</v>
      </c>
      <c r="D87" s="1679"/>
      <c r="E87" s="1682">
        <v>0.45</v>
      </c>
      <c r="F87" s="1679"/>
      <c r="G87" s="1682">
        <v>3.0000000000000001E-3</v>
      </c>
      <c r="H87" s="1679"/>
      <c r="I87" s="1682">
        <v>0</v>
      </c>
      <c r="J87" s="1711"/>
      <c r="K87" s="638">
        <f>ROUND(SUM(C87)+SUM(E87)-SUM(G87)+SUM(I87),3)</f>
        <v>20.521999999999998</v>
      </c>
      <c r="L87" s="3089"/>
      <c r="M87" s="2123"/>
      <c r="N87" s="2123"/>
    </row>
    <row r="88" spans="1:15">
      <c r="A88" s="1713" t="s">
        <v>813</v>
      </c>
      <c r="B88" s="720"/>
      <c r="C88" s="1682">
        <v>207.50700000000001</v>
      </c>
      <c r="D88" s="1679"/>
      <c r="E88" s="1682">
        <v>44.95</v>
      </c>
      <c r="F88" s="1679"/>
      <c r="G88" s="1682">
        <v>0</v>
      </c>
      <c r="H88" s="1679"/>
      <c r="I88" s="1682">
        <v>-0.627</v>
      </c>
      <c r="J88" s="1711"/>
      <c r="K88" s="638">
        <f t="shared" si="4"/>
        <v>251.83</v>
      </c>
      <c r="L88" s="3089"/>
      <c r="M88" s="2123"/>
      <c r="N88" s="2123"/>
    </row>
    <row r="89" spans="1:15">
      <c r="A89" s="431" t="s">
        <v>297</v>
      </c>
      <c r="B89" s="720"/>
      <c r="C89" s="436">
        <f>ROUND(SUM(C28:C88),3)</f>
        <v>5708.576</v>
      </c>
      <c r="D89" s="435"/>
      <c r="E89" s="436">
        <f>ROUND(SUM(E28:E88),3)</f>
        <v>1705.7950000000001</v>
      </c>
      <c r="F89" s="435"/>
      <c r="G89" s="436">
        <f>ROUND(SUM(G28:G88),3)</f>
        <v>1339.0909999999999</v>
      </c>
      <c r="H89" s="435"/>
      <c r="I89" s="436">
        <f>ROUND(SUM(I28:I88),3)</f>
        <v>253.976</v>
      </c>
      <c r="J89" s="435"/>
      <c r="K89" s="436">
        <f>ROUND(SUM(K28:K88),3)</f>
        <v>6329.2560000000003</v>
      </c>
      <c r="L89" s="2125"/>
      <c r="M89" s="3014"/>
      <c r="N89" s="2123"/>
      <c r="O89" s="3015"/>
    </row>
    <row r="90" spans="1:15" ht="11.25" customHeight="1">
      <c r="A90" s="720"/>
      <c r="B90" s="720"/>
      <c r="C90" s="722"/>
      <c r="D90" s="720"/>
      <c r="E90" s="722"/>
      <c r="F90" s="720"/>
      <c r="G90" s="722"/>
      <c r="H90" s="720"/>
      <c r="I90" s="722"/>
      <c r="J90" s="720"/>
      <c r="K90" s="722"/>
      <c r="L90" s="722"/>
      <c r="M90" s="2123"/>
      <c r="N90" s="2123"/>
    </row>
    <row r="91" spans="1:15">
      <c r="A91" s="432" t="s">
        <v>298</v>
      </c>
      <c r="B91" s="720"/>
      <c r="C91" s="720"/>
      <c r="D91" s="720"/>
      <c r="E91" s="720"/>
      <c r="F91" s="720"/>
      <c r="G91" s="720"/>
      <c r="H91" s="720"/>
      <c r="I91" s="720"/>
      <c r="J91" s="720"/>
      <c r="K91" s="720"/>
      <c r="L91" s="722"/>
      <c r="M91" s="2123"/>
      <c r="N91" s="2123"/>
    </row>
    <row r="92" spans="1:15">
      <c r="A92" s="720" t="s">
        <v>874</v>
      </c>
      <c r="B92" s="720"/>
      <c r="C92" s="1682">
        <v>-11.196</v>
      </c>
      <c r="D92" s="1679"/>
      <c r="E92" s="1682">
        <v>227.238</v>
      </c>
      <c r="F92" s="1679"/>
      <c r="G92" s="1682">
        <v>217.63900000000001</v>
      </c>
      <c r="H92" s="1679"/>
      <c r="I92" s="1682">
        <v>-0.17100000000000001</v>
      </c>
      <c r="J92" s="1711"/>
      <c r="K92" s="638">
        <f t="shared" ref="K92:K98" si="5">ROUND(SUM(C92)+SUM(E92)-SUM(G92)+SUM(I92),3)</f>
        <v>-1.768</v>
      </c>
      <c r="L92" s="723"/>
      <c r="M92" s="2123"/>
      <c r="N92" s="2123"/>
      <c r="O92" s="724"/>
    </row>
    <row r="93" spans="1:15">
      <c r="A93" s="720" t="s">
        <v>299</v>
      </c>
      <c r="B93" s="720"/>
      <c r="C93" s="1682">
        <v>2069.8559999999998</v>
      </c>
      <c r="D93" s="1679"/>
      <c r="E93" s="1682">
        <v>6129.2139999999999</v>
      </c>
      <c r="F93" s="1679"/>
      <c r="G93" s="1682">
        <v>4021.817</v>
      </c>
      <c r="H93" s="1679"/>
      <c r="I93" s="1682">
        <v>-132</v>
      </c>
      <c r="J93" s="1711"/>
      <c r="K93" s="638">
        <f t="shared" si="5"/>
        <v>4045.2530000000002</v>
      </c>
      <c r="L93" s="723"/>
      <c r="M93" s="2123"/>
      <c r="N93" s="2123"/>
    </row>
    <row r="94" spans="1:15">
      <c r="A94" s="720" t="s">
        <v>300</v>
      </c>
      <c r="B94" s="433"/>
      <c r="C94" s="1682">
        <v>-16.921999999999997</v>
      </c>
      <c r="D94" s="1679"/>
      <c r="E94" s="1682">
        <v>286.95299999999997</v>
      </c>
      <c r="F94" s="1679"/>
      <c r="G94" s="1682">
        <v>271.31599999999997</v>
      </c>
      <c r="H94" s="1679"/>
      <c r="I94" s="1682">
        <v>-24.151</v>
      </c>
      <c r="J94" s="1711"/>
      <c r="K94" s="638">
        <f t="shared" si="5"/>
        <v>-25.436</v>
      </c>
      <c r="L94" s="723"/>
      <c r="M94" s="2123"/>
      <c r="N94" s="2123"/>
    </row>
    <row r="95" spans="1:15">
      <c r="A95" s="720" t="s">
        <v>301</v>
      </c>
      <c r="B95" s="720"/>
      <c r="C95" s="1682">
        <v>2828.5479999999998</v>
      </c>
      <c r="D95" s="1679"/>
      <c r="E95" s="1682">
        <v>463.411</v>
      </c>
      <c r="F95" s="1679"/>
      <c r="G95" s="1682">
        <v>114.348</v>
      </c>
      <c r="H95" s="1679"/>
      <c r="I95" s="1682">
        <v>-7.1999999999999995E-2</v>
      </c>
      <c r="J95" s="1711"/>
      <c r="K95" s="638">
        <f t="shared" si="5"/>
        <v>3177.5390000000002</v>
      </c>
      <c r="L95" s="723"/>
      <c r="M95" s="725"/>
    </row>
    <row r="96" spans="1:15">
      <c r="A96" s="720" t="s">
        <v>302</v>
      </c>
      <c r="B96" s="720"/>
      <c r="C96" s="1682">
        <v>98.096000000000004</v>
      </c>
      <c r="D96" s="1679"/>
      <c r="E96" s="1682">
        <v>51.569000000000003</v>
      </c>
      <c r="F96" s="1679"/>
      <c r="G96" s="1682">
        <v>37.408000000000001</v>
      </c>
      <c r="H96" s="1679"/>
      <c r="I96" s="1682">
        <v>0</v>
      </c>
      <c r="J96" s="1711"/>
      <c r="K96" s="638">
        <f t="shared" si="5"/>
        <v>112.25700000000001</v>
      </c>
      <c r="L96" s="723"/>
      <c r="M96" s="2123"/>
      <c r="N96" s="2123"/>
    </row>
    <row r="97" spans="1:15">
      <c r="A97" s="720" t="s">
        <v>303</v>
      </c>
      <c r="B97" s="720"/>
      <c r="C97" s="1682">
        <v>-0.51</v>
      </c>
      <c r="D97" s="1679"/>
      <c r="E97" s="1682">
        <v>0.17499999999999999</v>
      </c>
      <c r="F97" s="1679"/>
      <c r="G97" s="1682">
        <v>4.3999999999999997E-2</v>
      </c>
      <c r="H97" s="1679"/>
      <c r="I97" s="1682">
        <v>0</v>
      </c>
      <c r="J97" s="1711"/>
      <c r="K97" s="638">
        <f t="shared" si="5"/>
        <v>-0.379</v>
      </c>
      <c r="L97" s="723"/>
      <c r="M97" s="2123"/>
      <c r="N97" s="2123"/>
    </row>
    <row r="98" spans="1:15">
      <c r="A98" s="721" t="s">
        <v>304</v>
      </c>
      <c r="B98" s="720"/>
      <c r="C98" s="1682">
        <v>-7.1980000000000004</v>
      </c>
      <c r="D98" s="1679"/>
      <c r="E98" s="1682">
        <v>13.186</v>
      </c>
      <c r="F98" s="1679"/>
      <c r="G98" s="1682">
        <v>12.839</v>
      </c>
      <c r="H98" s="1679"/>
      <c r="I98" s="1682">
        <v>0</v>
      </c>
      <c r="J98" s="1711"/>
      <c r="K98" s="638">
        <f t="shared" si="5"/>
        <v>-6.851</v>
      </c>
      <c r="L98" s="723"/>
      <c r="M98" s="2123"/>
      <c r="N98" s="2123"/>
    </row>
    <row r="99" spans="1:15">
      <c r="A99" s="431" t="s">
        <v>305</v>
      </c>
      <c r="B99" s="720"/>
      <c r="C99" s="436">
        <f>ROUND(SUM(C92:C98),3)</f>
        <v>4960.674</v>
      </c>
      <c r="D99" s="435"/>
      <c r="E99" s="436">
        <f>ROUND(SUM(E92:E98),3)</f>
        <v>7171.7460000000001</v>
      </c>
      <c r="F99" s="435"/>
      <c r="G99" s="436">
        <f>ROUND(SUM(G92:G98),3)</f>
        <v>4675.4110000000001</v>
      </c>
      <c r="H99" s="435"/>
      <c r="I99" s="436">
        <f>ROUND(SUM(I92:I98),3)</f>
        <v>-156.39400000000001</v>
      </c>
      <c r="J99" s="435"/>
      <c r="K99" s="436">
        <f>ROUND(SUM(K92:K98),3)</f>
        <v>7300.6149999999998</v>
      </c>
      <c r="L99" s="437"/>
      <c r="M99" s="2123"/>
      <c r="N99" s="2123"/>
    </row>
    <row r="100" spans="1:15" ht="12" customHeight="1">
      <c r="A100" s="435"/>
      <c r="B100" s="720"/>
      <c r="C100" s="722"/>
      <c r="D100" s="720"/>
      <c r="E100" s="722"/>
      <c r="F100" s="720"/>
      <c r="G100" s="722"/>
      <c r="H100" s="720"/>
      <c r="I100" s="722"/>
      <c r="J100" s="720"/>
      <c r="K100" s="722"/>
      <c r="L100" s="722"/>
      <c r="M100" s="2123"/>
      <c r="N100" s="2123"/>
    </row>
    <row r="101" spans="1:15">
      <c r="A101" s="3016" t="s">
        <v>306</v>
      </c>
      <c r="B101" s="720"/>
      <c r="C101" s="2207">
        <f>C89+C99</f>
        <v>10669.25</v>
      </c>
      <c r="D101" s="435"/>
      <c r="E101" s="2207">
        <f>E89+E99</f>
        <v>8877.5410000000011</v>
      </c>
      <c r="F101" s="435"/>
      <c r="G101" s="2207">
        <f>G89+G99</f>
        <v>6014.5020000000004</v>
      </c>
      <c r="H101" s="435"/>
      <c r="I101" s="2207">
        <f>I89+I99</f>
        <v>97.581999999999994</v>
      </c>
      <c r="J101" s="435"/>
      <c r="K101" s="2207">
        <f>K89+K99</f>
        <v>13629.870999999999</v>
      </c>
      <c r="L101" s="437"/>
      <c r="M101" s="3014"/>
      <c r="N101" s="3014"/>
      <c r="O101" s="724"/>
    </row>
    <row r="102" spans="1:15" ht="10.5" customHeight="1">
      <c r="A102" s="3017"/>
      <c r="B102" s="720"/>
      <c r="C102" s="722"/>
      <c r="D102" s="720"/>
      <c r="E102" s="722"/>
      <c r="F102" s="720"/>
      <c r="G102" s="722"/>
      <c r="H102" s="720"/>
      <c r="I102" s="722"/>
      <c r="J102" s="720"/>
      <c r="K102" s="722"/>
      <c r="L102" s="722"/>
      <c r="M102" s="2123"/>
      <c r="N102" s="2123"/>
    </row>
    <row r="103" spans="1:15" ht="16">
      <c r="A103" s="432" t="s">
        <v>183</v>
      </c>
      <c r="B103" s="720"/>
      <c r="C103" s="720"/>
      <c r="D103" s="720"/>
      <c r="E103" s="677"/>
      <c r="F103" s="677"/>
      <c r="G103" s="677"/>
      <c r="H103" s="677"/>
      <c r="I103" s="677"/>
      <c r="J103" s="433"/>
      <c r="K103" s="677"/>
      <c r="L103" s="722"/>
      <c r="M103" s="2123"/>
      <c r="N103" s="2123"/>
    </row>
    <row r="104" spans="1:15">
      <c r="A104" s="720" t="s">
        <v>307</v>
      </c>
      <c r="B104" s="720"/>
      <c r="C104" s="1682">
        <v>0</v>
      </c>
      <c r="D104" s="1679"/>
      <c r="E104" s="1682">
        <v>0</v>
      </c>
      <c r="F104" s="1679"/>
      <c r="G104" s="1682">
        <v>0</v>
      </c>
      <c r="H104" s="1679"/>
      <c r="I104" s="1682">
        <v>0</v>
      </c>
      <c r="J104" s="1711"/>
      <c r="K104" s="638">
        <f t="shared" ref="K104:K110" si="6">ROUND(SUM(C104)+SUM(E104)-SUM(G104)+SUM(I104),3)</f>
        <v>0</v>
      </c>
      <c r="L104" s="2126"/>
    </row>
    <row r="105" spans="1:15">
      <c r="A105" s="720" t="s">
        <v>308</v>
      </c>
      <c r="B105" s="720"/>
      <c r="C105" s="1682">
        <v>24.681000000000001</v>
      </c>
      <c r="D105" s="1679"/>
      <c r="E105" s="1682">
        <v>49.003</v>
      </c>
      <c r="F105" s="1679"/>
      <c r="G105" s="1682">
        <v>0</v>
      </c>
      <c r="H105" s="1679"/>
      <c r="I105" s="1682">
        <v>23.77</v>
      </c>
      <c r="J105" s="1711"/>
      <c r="K105" s="638">
        <f t="shared" si="6"/>
        <v>97.453999999999994</v>
      </c>
      <c r="L105" s="723"/>
      <c r="M105" s="2123"/>
      <c r="N105" s="2123"/>
    </row>
    <row r="106" spans="1:15">
      <c r="A106" s="720" t="s">
        <v>309</v>
      </c>
      <c r="B106" s="720"/>
      <c r="C106" s="1682">
        <v>0</v>
      </c>
      <c r="D106" s="1679"/>
      <c r="E106" s="1682">
        <v>3861.663</v>
      </c>
      <c r="F106" s="1679"/>
      <c r="G106" s="1682">
        <v>122.58799999999999</v>
      </c>
      <c r="H106" s="1679"/>
      <c r="I106" s="1682">
        <v>-3655.576</v>
      </c>
      <c r="J106" s="1711"/>
      <c r="K106" s="638">
        <f t="shared" si="6"/>
        <v>83.498999999999995</v>
      </c>
      <c r="L106" s="723"/>
      <c r="M106" s="2123"/>
      <c r="N106" s="2123"/>
    </row>
    <row r="107" spans="1:15">
      <c r="A107" s="720" t="s">
        <v>310</v>
      </c>
      <c r="B107" s="720"/>
      <c r="C107" s="1682">
        <v>0</v>
      </c>
      <c r="D107" s="1679"/>
      <c r="E107" s="1682">
        <v>0</v>
      </c>
      <c r="F107" s="1679"/>
      <c r="G107" s="1682">
        <v>0</v>
      </c>
      <c r="H107" s="1679"/>
      <c r="I107" s="1682">
        <v>0</v>
      </c>
      <c r="J107" s="1711"/>
      <c r="K107" s="638">
        <f t="shared" si="6"/>
        <v>0</v>
      </c>
      <c r="L107" s="2126"/>
      <c r="M107" s="2123"/>
      <c r="N107" s="2123"/>
    </row>
    <row r="108" spans="1:15">
      <c r="A108" s="720" t="s">
        <v>311</v>
      </c>
      <c r="B108" s="720"/>
      <c r="C108" s="1682">
        <v>40.326000000000001</v>
      </c>
      <c r="D108" s="1679"/>
      <c r="E108" s="1682">
        <v>-5.7809999999999997</v>
      </c>
      <c r="F108" s="1679"/>
      <c r="G108" s="1682">
        <v>0</v>
      </c>
      <c r="H108" s="1679"/>
      <c r="I108" s="1682">
        <v>-8.9329999999999998</v>
      </c>
      <c r="J108" s="1711"/>
      <c r="K108" s="638">
        <f t="shared" si="6"/>
        <v>25.611999999999998</v>
      </c>
      <c r="L108" s="723"/>
      <c r="M108" s="2123"/>
      <c r="N108" s="2123" t="s">
        <v>14</v>
      </c>
    </row>
    <row r="109" spans="1:15">
      <c r="A109" s="720" t="s">
        <v>312</v>
      </c>
      <c r="B109" s="720"/>
      <c r="C109" s="1682">
        <v>0</v>
      </c>
      <c r="D109" s="1679"/>
      <c r="E109" s="1682">
        <v>97.423000000000002</v>
      </c>
      <c r="F109" s="1679"/>
      <c r="G109" s="1682">
        <v>0</v>
      </c>
      <c r="H109" s="1679"/>
      <c r="I109" s="1682">
        <v>-97.423000000000002</v>
      </c>
      <c r="J109" s="1711"/>
      <c r="K109" s="638">
        <f t="shared" si="6"/>
        <v>0</v>
      </c>
      <c r="L109" s="723"/>
      <c r="M109" s="2123"/>
      <c r="N109" s="2123" t="s">
        <v>14</v>
      </c>
    </row>
    <row r="110" spans="1:15">
      <c r="A110" s="721" t="s">
        <v>313</v>
      </c>
      <c r="B110" s="720"/>
      <c r="C110" s="1682">
        <v>0</v>
      </c>
      <c r="D110" s="1679"/>
      <c r="E110" s="1682">
        <v>296.69799999999998</v>
      </c>
      <c r="F110" s="1679"/>
      <c r="G110" s="1682">
        <v>0</v>
      </c>
      <c r="H110" s="1679"/>
      <c r="I110" s="1682">
        <v>-296.69799999999998</v>
      </c>
      <c r="J110" s="1711"/>
      <c r="K110" s="638">
        <f t="shared" si="6"/>
        <v>0</v>
      </c>
      <c r="L110" s="723"/>
      <c r="M110" s="2123"/>
      <c r="N110" s="2123" t="s">
        <v>14</v>
      </c>
    </row>
    <row r="111" spans="1:15">
      <c r="A111" s="3018" t="s">
        <v>314</v>
      </c>
      <c r="B111" s="3019"/>
      <c r="C111" s="436">
        <f>ROUND(SUM(C104:C110),3)</f>
        <v>65.007000000000005</v>
      </c>
      <c r="D111" s="438"/>
      <c r="E111" s="436">
        <f>ROUND(SUM(E104:E110),3)</f>
        <v>4299.0060000000003</v>
      </c>
      <c r="F111" s="438"/>
      <c r="G111" s="436">
        <f>ROUND(SUM(G104:G110),3)</f>
        <v>122.58799999999999</v>
      </c>
      <c r="H111" s="438"/>
      <c r="I111" s="436">
        <f>ROUND(SUM(I104:I110),3)</f>
        <v>-4034.86</v>
      </c>
      <c r="J111" s="438"/>
      <c r="K111" s="436">
        <f>ROUND(SUM(K104:K110),3)</f>
        <v>206.565</v>
      </c>
      <c r="L111" s="437"/>
      <c r="M111" s="3014"/>
      <c r="N111" s="2123" t="s">
        <v>14</v>
      </c>
    </row>
    <row r="112" spans="1:15">
      <c r="A112" s="720"/>
      <c r="B112" s="720"/>
      <c r="C112" s="722"/>
      <c r="D112" s="720"/>
      <c r="E112" s="722"/>
      <c r="F112" s="720"/>
      <c r="G112" s="722"/>
      <c r="H112" s="720"/>
      <c r="I112" s="722"/>
      <c r="J112" s="720"/>
      <c r="K112" s="722" t="s">
        <v>14</v>
      </c>
      <c r="L112" s="722"/>
      <c r="M112" s="2123"/>
      <c r="N112" s="2123" t="s">
        <v>14</v>
      </c>
    </row>
    <row r="113" spans="1:14">
      <c r="A113" s="3020" t="s">
        <v>845</v>
      </c>
      <c r="B113" s="720"/>
      <c r="K113" s="724"/>
      <c r="L113" s="723"/>
      <c r="M113" s="2123"/>
      <c r="N113" s="2123"/>
    </row>
    <row r="114" spans="1:14">
      <c r="A114" s="720" t="s">
        <v>315</v>
      </c>
      <c r="B114" s="1711"/>
      <c r="C114" s="1682">
        <v>0</v>
      </c>
      <c r="D114" s="1679"/>
      <c r="E114" s="1682">
        <v>0.71399999999999997</v>
      </c>
      <c r="F114" s="1679"/>
      <c r="G114" s="3859">
        <v>486.37400000000002</v>
      </c>
      <c r="H114" s="1679"/>
      <c r="I114" s="1682">
        <v>485.65999999999997</v>
      </c>
      <c r="J114" s="1711"/>
      <c r="K114" s="638">
        <f>ROUND(SUM(C114)+SUM(E114)-SUM(G114)+SUM(I114),3)</f>
        <v>0</v>
      </c>
      <c r="L114" s="2126"/>
      <c r="M114" s="2123"/>
      <c r="N114" s="725"/>
    </row>
    <row r="115" spans="1:14">
      <c r="A115" s="720" t="s">
        <v>316</v>
      </c>
      <c r="B115" s="721"/>
      <c r="C115" s="1682">
        <v>-14.861000000000001</v>
      </c>
      <c r="D115" s="1679"/>
      <c r="E115" s="1682">
        <v>178.84</v>
      </c>
      <c r="F115" s="1679"/>
      <c r="G115" s="1682">
        <v>95.572000000000003</v>
      </c>
      <c r="H115" s="1679"/>
      <c r="I115" s="1682">
        <v>-7.2380000000000004</v>
      </c>
      <c r="J115" s="1711"/>
      <c r="K115" s="638">
        <f t="shared" ref="K115:K129" si="7">ROUND(SUM(C115)+SUM(E115)-SUM(G115)+SUM(I115),3)</f>
        <v>61.168999999999997</v>
      </c>
      <c r="L115" s="723"/>
      <c r="M115" s="2123"/>
      <c r="N115" s="2123"/>
    </row>
    <row r="116" spans="1:14">
      <c r="A116" s="720" t="s">
        <v>317</v>
      </c>
      <c r="B116" s="720"/>
      <c r="C116" s="1682">
        <v>117.68300000000001</v>
      </c>
      <c r="D116" s="1679"/>
      <c r="E116" s="1682">
        <v>8.9999999999999993E-3</v>
      </c>
      <c r="F116" s="1679"/>
      <c r="G116" s="1682">
        <v>1.101</v>
      </c>
      <c r="H116" s="1679"/>
      <c r="I116" s="1682">
        <v>0.63900000000000001</v>
      </c>
      <c r="J116" s="1711"/>
      <c r="K116" s="638">
        <f t="shared" si="7"/>
        <v>117.23</v>
      </c>
      <c r="L116" s="723"/>
      <c r="M116" s="2123"/>
      <c r="N116" s="2123"/>
    </row>
    <row r="117" spans="1:14">
      <c r="A117" s="720" t="s">
        <v>318</v>
      </c>
      <c r="B117" s="720"/>
      <c r="C117" s="1682">
        <v>14.103999999999999</v>
      </c>
      <c r="D117" s="1679"/>
      <c r="E117" s="1682">
        <v>7.1000000000000008E-2</v>
      </c>
      <c r="F117" s="1679"/>
      <c r="G117" s="1682">
        <v>0</v>
      </c>
      <c r="H117" s="1679"/>
      <c r="I117" s="1682">
        <v>0</v>
      </c>
      <c r="J117" s="1711"/>
      <c r="K117" s="638">
        <f t="shared" si="7"/>
        <v>14.175000000000001</v>
      </c>
      <c r="L117" s="723"/>
      <c r="M117" s="2123"/>
      <c r="N117" s="2123"/>
    </row>
    <row r="118" spans="1:14">
      <c r="A118" s="720" t="s">
        <v>319</v>
      </c>
      <c r="B118" s="720"/>
      <c r="C118" s="1682">
        <v>-35.978999999999999</v>
      </c>
      <c r="D118" s="1679"/>
      <c r="E118" s="1682">
        <v>0</v>
      </c>
      <c r="F118" s="1679"/>
      <c r="G118" s="1682">
        <v>8.3650000000000002</v>
      </c>
      <c r="H118" s="1679"/>
      <c r="I118" s="1682">
        <v>0</v>
      </c>
      <c r="J118" s="1711"/>
      <c r="K118" s="638">
        <f t="shared" si="7"/>
        <v>-44.344000000000001</v>
      </c>
      <c r="L118" s="723"/>
      <c r="M118" s="2123"/>
      <c r="N118" s="2123"/>
    </row>
    <row r="119" spans="1:14">
      <c r="A119" s="720" t="s">
        <v>320</v>
      </c>
      <c r="B119" s="720"/>
      <c r="C119" s="1682">
        <v>1.4999999999999999E-2</v>
      </c>
      <c r="D119" s="1679"/>
      <c r="E119" s="1682">
        <v>0</v>
      </c>
      <c r="F119" s="1679"/>
      <c r="G119" s="1682">
        <v>0</v>
      </c>
      <c r="H119" s="1679"/>
      <c r="I119" s="1682">
        <v>0</v>
      </c>
      <c r="J119" s="1711"/>
      <c r="K119" s="638">
        <f t="shared" si="7"/>
        <v>1.4999999999999999E-2</v>
      </c>
      <c r="L119" s="723"/>
      <c r="M119" s="2123"/>
      <c r="N119" s="2123"/>
    </row>
    <row r="120" spans="1:14">
      <c r="A120" s="720" t="s">
        <v>321</v>
      </c>
      <c r="B120" s="720"/>
      <c r="C120" s="1682">
        <v>83.48</v>
      </c>
      <c r="D120" s="1679"/>
      <c r="E120" s="1682">
        <v>3.67</v>
      </c>
      <c r="F120" s="1679"/>
      <c r="G120" s="1682">
        <v>5.39</v>
      </c>
      <c r="H120" s="1679"/>
      <c r="I120" s="1682">
        <v>0</v>
      </c>
      <c r="J120" s="1711"/>
      <c r="K120" s="638">
        <f t="shared" si="7"/>
        <v>81.760000000000005</v>
      </c>
      <c r="L120" s="723"/>
      <c r="M120" s="2123"/>
      <c r="N120" s="2123"/>
    </row>
    <row r="121" spans="1:14">
      <c r="A121" s="720" t="s">
        <v>322</v>
      </c>
      <c r="B121" s="720"/>
      <c r="C121" s="1682">
        <v>0</v>
      </c>
      <c r="D121" s="1679"/>
      <c r="E121" s="1682">
        <v>0</v>
      </c>
      <c r="F121" s="1679"/>
      <c r="G121" s="1682">
        <v>0</v>
      </c>
      <c r="H121" s="1679"/>
      <c r="I121" s="1682">
        <v>0</v>
      </c>
      <c r="J121" s="1711"/>
      <c r="K121" s="638">
        <f t="shared" si="7"/>
        <v>0</v>
      </c>
      <c r="L121" s="723"/>
      <c r="M121" s="2123"/>
      <c r="N121" s="2123"/>
    </row>
    <row r="122" spans="1:14">
      <c r="A122" s="720" t="s">
        <v>323</v>
      </c>
      <c r="B122" s="720"/>
      <c r="C122" s="1682">
        <v>0.16400000000000001</v>
      </c>
      <c r="D122" s="1679"/>
      <c r="E122" s="1682">
        <v>0</v>
      </c>
      <c r="F122" s="1679"/>
      <c r="G122" s="1682">
        <v>0</v>
      </c>
      <c r="H122" s="1679"/>
      <c r="I122" s="1682">
        <v>0</v>
      </c>
      <c r="J122" s="1711"/>
      <c r="K122" s="638">
        <f t="shared" si="7"/>
        <v>0.16400000000000001</v>
      </c>
      <c r="L122" s="723"/>
      <c r="M122" s="2123"/>
      <c r="N122" s="2123"/>
    </row>
    <row r="123" spans="1:14">
      <c r="A123" s="720" t="s">
        <v>873</v>
      </c>
      <c r="B123" s="720"/>
      <c r="C123" s="1682">
        <v>0</v>
      </c>
      <c r="D123" s="1679"/>
      <c r="E123" s="1682">
        <v>0</v>
      </c>
      <c r="F123" s="1679"/>
      <c r="G123" s="1682">
        <v>0</v>
      </c>
      <c r="H123" s="1679"/>
      <c r="I123" s="1682">
        <v>0</v>
      </c>
      <c r="J123" s="1711"/>
      <c r="K123" s="638">
        <f t="shared" si="7"/>
        <v>0</v>
      </c>
      <c r="L123" s="723"/>
      <c r="M123" s="2123"/>
      <c r="N123" s="2123"/>
    </row>
    <row r="124" spans="1:14">
      <c r="A124" s="720" t="s">
        <v>324</v>
      </c>
      <c r="B124" s="720"/>
      <c r="C124" s="1682">
        <v>0.66800000000000004</v>
      </c>
      <c r="D124" s="1679"/>
      <c r="E124" s="1682">
        <v>0</v>
      </c>
      <c r="F124" s="1679"/>
      <c r="G124" s="1682">
        <v>0</v>
      </c>
      <c r="H124" s="1679"/>
      <c r="I124" s="1682">
        <v>0</v>
      </c>
      <c r="J124" s="1711"/>
      <c r="K124" s="638">
        <f t="shared" si="7"/>
        <v>0.66800000000000004</v>
      </c>
      <c r="L124" s="723"/>
      <c r="M124" s="2123"/>
      <c r="N124" s="2123"/>
    </row>
    <row r="125" spans="1:14">
      <c r="A125" s="720" t="s">
        <v>325</v>
      </c>
      <c r="B125" s="720"/>
      <c r="C125" s="1682">
        <v>3.3279999999999998</v>
      </c>
      <c r="D125" s="1679"/>
      <c r="E125" s="1682">
        <v>0</v>
      </c>
      <c r="F125" s="1679"/>
      <c r="G125" s="1682">
        <v>0</v>
      </c>
      <c r="H125" s="1679"/>
      <c r="I125" s="1682">
        <v>0</v>
      </c>
      <c r="J125" s="1711"/>
      <c r="K125" s="638">
        <f t="shared" si="7"/>
        <v>3.3279999999999998</v>
      </c>
      <c r="L125" s="723"/>
      <c r="M125" s="2123"/>
      <c r="N125" s="2123"/>
    </row>
    <row r="126" spans="1:14">
      <c r="A126" s="720" t="s">
        <v>326</v>
      </c>
      <c r="B126" s="720"/>
      <c r="C126" s="1682">
        <v>1.419</v>
      </c>
      <c r="D126" s="1679"/>
      <c r="E126" s="1682">
        <v>0</v>
      </c>
      <c r="F126" s="1679"/>
      <c r="G126" s="1682">
        <v>0</v>
      </c>
      <c r="H126" s="1679"/>
      <c r="I126" s="1682">
        <v>0</v>
      </c>
      <c r="J126" s="1711"/>
      <c r="K126" s="638">
        <f t="shared" si="7"/>
        <v>1.419</v>
      </c>
      <c r="L126" s="723"/>
      <c r="M126" s="2123"/>
      <c r="N126" s="2123"/>
    </row>
    <row r="127" spans="1:14">
      <c r="A127" s="720" t="s">
        <v>327</v>
      </c>
      <c r="B127" s="720"/>
      <c r="C127" s="1682">
        <v>17.21</v>
      </c>
      <c r="D127" s="1679"/>
      <c r="E127" s="1682">
        <v>0</v>
      </c>
      <c r="F127" s="1679"/>
      <c r="G127" s="1682">
        <v>0</v>
      </c>
      <c r="H127" s="1679"/>
      <c r="I127" s="1682">
        <v>0</v>
      </c>
      <c r="J127" s="1711"/>
      <c r="K127" s="638">
        <f t="shared" si="7"/>
        <v>17.21</v>
      </c>
      <c r="L127" s="723"/>
      <c r="M127" s="2123"/>
      <c r="N127" s="2123"/>
    </row>
    <row r="128" spans="1:14">
      <c r="A128" s="720" t="s">
        <v>328</v>
      </c>
      <c r="B128" s="720"/>
      <c r="C128" s="1682">
        <v>4.2549999999999999</v>
      </c>
      <c r="D128" s="1679"/>
      <c r="E128" s="1682">
        <v>0</v>
      </c>
      <c r="F128" s="1679"/>
      <c r="G128" s="1682">
        <v>0</v>
      </c>
      <c r="H128" s="1679"/>
      <c r="I128" s="1682">
        <v>0</v>
      </c>
      <c r="J128" s="1711"/>
      <c r="K128" s="638">
        <f t="shared" si="7"/>
        <v>4.2549999999999999</v>
      </c>
      <c r="L128" s="723"/>
      <c r="M128" s="2123"/>
      <c r="N128" s="725"/>
    </row>
    <row r="129" spans="1:14">
      <c r="A129" s="720" t="s">
        <v>329</v>
      </c>
      <c r="B129" s="720"/>
      <c r="C129" s="1682">
        <v>5.5720000000000001</v>
      </c>
      <c r="D129" s="1679"/>
      <c r="E129" s="1682">
        <v>0</v>
      </c>
      <c r="F129" s="1679"/>
      <c r="G129" s="1682">
        <v>0</v>
      </c>
      <c r="H129" s="1679"/>
      <c r="I129" s="1682">
        <v>-2.2000000000000002E-2</v>
      </c>
      <c r="J129" s="1711"/>
      <c r="K129" s="638">
        <f t="shared" si="7"/>
        <v>5.55</v>
      </c>
      <c r="L129" s="723"/>
      <c r="M129" s="2123"/>
      <c r="N129" s="2123"/>
    </row>
    <row r="130" spans="1:14">
      <c r="A130" s="720" t="s">
        <v>330</v>
      </c>
      <c r="B130" s="720"/>
      <c r="C130" s="3431"/>
      <c r="D130" s="1709"/>
      <c r="E130" s="1712"/>
      <c r="F130" s="1679"/>
      <c r="G130" s="1712" t="s">
        <v>14</v>
      </c>
      <c r="H130" s="1679"/>
      <c r="I130" s="1712"/>
      <c r="J130" s="720"/>
      <c r="K130" s="2221"/>
      <c r="L130" s="723"/>
      <c r="M130" s="2123"/>
      <c r="N130" s="2123"/>
    </row>
    <row r="131" spans="1:14">
      <c r="A131" s="720" t="s">
        <v>331</v>
      </c>
      <c r="B131" s="720"/>
      <c r="C131" s="1682">
        <v>2.778</v>
      </c>
      <c r="D131" s="1679"/>
      <c r="E131" s="1682">
        <v>0</v>
      </c>
      <c r="F131" s="1679"/>
      <c r="G131" s="1682">
        <v>0</v>
      </c>
      <c r="H131" s="1679"/>
      <c r="I131" s="1682">
        <v>0</v>
      </c>
      <c r="J131" s="1711"/>
      <c r="K131" s="638">
        <f t="shared" ref="K131:K152" si="8">ROUND(SUM(C131)+SUM(E131)-SUM(G131)+SUM(I131),3)</f>
        <v>2.778</v>
      </c>
      <c r="L131" s="723"/>
      <c r="M131" s="2123"/>
      <c r="N131" s="2123"/>
    </row>
    <row r="132" spans="1:14">
      <c r="A132" s="720" t="s">
        <v>332</v>
      </c>
      <c r="B132" s="720"/>
      <c r="C132" s="1682">
        <v>1.429</v>
      </c>
      <c r="D132" s="1679"/>
      <c r="E132" s="1682">
        <v>0</v>
      </c>
      <c r="F132" s="1679"/>
      <c r="G132" s="1682">
        <v>0</v>
      </c>
      <c r="H132" s="1679"/>
      <c r="I132" s="1682">
        <v>-1E-3</v>
      </c>
      <c r="J132" s="1711"/>
      <c r="K132" s="638">
        <f t="shared" si="8"/>
        <v>1.4279999999999999</v>
      </c>
      <c r="L132" s="723"/>
      <c r="M132" s="2123"/>
      <c r="N132" s="2123"/>
    </row>
    <row r="133" spans="1:14">
      <c r="A133" s="720" t="s">
        <v>1116</v>
      </c>
      <c r="B133" s="720"/>
      <c r="C133" s="1682">
        <v>0</v>
      </c>
      <c r="D133" s="1679"/>
      <c r="E133" s="1682">
        <v>0</v>
      </c>
      <c r="F133" s="1679"/>
      <c r="G133" s="1682">
        <v>0</v>
      </c>
      <c r="H133" s="1679"/>
      <c r="I133" s="1682">
        <v>0</v>
      </c>
      <c r="J133" s="1711"/>
      <c r="K133" s="638">
        <f t="shared" si="8"/>
        <v>0</v>
      </c>
      <c r="L133" s="723"/>
      <c r="M133" s="2123"/>
      <c r="N133" s="2123"/>
    </row>
    <row r="134" spans="1:14">
      <c r="A134" s="720" t="s">
        <v>1192</v>
      </c>
      <c r="B134" s="720"/>
      <c r="C134" s="1682">
        <v>0</v>
      </c>
      <c r="D134" s="1679"/>
      <c r="E134" s="1682">
        <v>0</v>
      </c>
      <c r="F134" s="1679"/>
      <c r="G134" s="1682">
        <v>0</v>
      </c>
      <c r="H134" s="1679"/>
      <c r="I134" s="1682">
        <v>0</v>
      </c>
      <c r="J134" s="1711"/>
      <c r="K134" s="638">
        <f t="shared" si="8"/>
        <v>0</v>
      </c>
      <c r="L134" s="723"/>
      <c r="M134" s="2123"/>
      <c r="N134" s="2123"/>
    </row>
    <row r="135" spans="1:14">
      <c r="A135" s="720" t="s">
        <v>333</v>
      </c>
      <c r="B135" s="720"/>
      <c r="C135" s="1682">
        <v>0</v>
      </c>
      <c r="D135" s="1679"/>
      <c r="E135" s="1682">
        <v>0</v>
      </c>
      <c r="F135" s="1679"/>
      <c r="G135" s="1682">
        <v>0</v>
      </c>
      <c r="H135" s="1679"/>
      <c r="I135" s="1682">
        <v>0</v>
      </c>
      <c r="J135" s="1711"/>
      <c r="K135" s="638">
        <f t="shared" si="8"/>
        <v>0</v>
      </c>
      <c r="L135" s="723"/>
      <c r="M135" s="2123"/>
      <c r="N135" s="2123"/>
    </row>
    <row r="136" spans="1:14">
      <c r="A136" s="720" t="s">
        <v>334</v>
      </c>
      <c r="B136" s="720"/>
      <c r="C136" s="1682">
        <v>0</v>
      </c>
      <c r="D136" s="1679"/>
      <c r="E136" s="1682">
        <v>0</v>
      </c>
      <c r="F136" s="1679"/>
      <c r="G136" s="1682">
        <v>0</v>
      </c>
      <c r="H136" s="1679"/>
      <c r="I136" s="1682">
        <v>0</v>
      </c>
      <c r="J136" s="1711"/>
      <c r="K136" s="638">
        <f t="shared" si="8"/>
        <v>0</v>
      </c>
      <c r="L136" s="723"/>
      <c r="M136" s="2123"/>
      <c r="N136" s="2123"/>
    </row>
    <row r="137" spans="1:14">
      <c r="A137" s="720" t="s">
        <v>335</v>
      </c>
      <c r="B137" s="720"/>
      <c r="C137" s="1682">
        <v>-580.31100000000004</v>
      </c>
      <c r="D137" s="1679"/>
      <c r="E137" s="1682">
        <v>5.6470000000000002</v>
      </c>
      <c r="F137" s="1679"/>
      <c r="G137" s="1682">
        <v>53.012</v>
      </c>
      <c r="H137" s="1679"/>
      <c r="I137" s="1682">
        <v>0</v>
      </c>
      <c r="J137" s="1711"/>
      <c r="K137" s="638">
        <f t="shared" si="8"/>
        <v>-627.67600000000004</v>
      </c>
      <c r="L137" s="723"/>
      <c r="M137" s="2123"/>
      <c r="N137" s="2123"/>
    </row>
    <row r="138" spans="1:14">
      <c r="A138" s="720" t="s">
        <v>336</v>
      </c>
      <c r="B138" s="720"/>
      <c r="C138" s="1682">
        <v>1.083</v>
      </c>
      <c r="D138" s="1679"/>
      <c r="E138" s="1682">
        <v>0</v>
      </c>
      <c r="F138" s="1679"/>
      <c r="G138" s="1682">
        <v>0</v>
      </c>
      <c r="H138" s="1679"/>
      <c r="I138" s="1682">
        <v>0</v>
      </c>
      <c r="J138" s="1711"/>
      <c r="K138" s="638">
        <f t="shared" si="8"/>
        <v>1.083</v>
      </c>
      <c r="L138" s="2126"/>
      <c r="M138" s="2123"/>
      <c r="N138" s="725"/>
    </row>
    <row r="139" spans="1:14">
      <c r="A139" s="721" t="s">
        <v>337</v>
      </c>
      <c r="B139" s="720"/>
      <c r="C139" s="1682">
        <v>-71.347999999999999</v>
      </c>
      <c r="D139" s="1679"/>
      <c r="E139" s="1682">
        <v>1.4570000000000001</v>
      </c>
      <c r="F139" s="1679"/>
      <c r="G139" s="1682">
        <v>3.492</v>
      </c>
      <c r="H139" s="1679"/>
      <c r="I139" s="1682">
        <v>-0.496</v>
      </c>
      <c r="J139" s="1711"/>
      <c r="K139" s="638">
        <f t="shared" si="8"/>
        <v>-73.879000000000005</v>
      </c>
      <c r="L139" s="723"/>
      <c r="M139" s="2123"/>
      <c r="N139" s="2123"/>
    </row>
    <row r="140" spans="1:14">
      <c r="A140" s="720" t="s">
        <v>338</v>
      </c>
      <c r="B140" s="720"/>
      <c r="C140" s="1682">
        <v>0.54</v>
      </c>
      <c r="D140" s="1679"/>
      <c r="E140" s="1682">
        <v>0</v>
      </c>
      <c r="F140" s="1679"/>
      <c r="G140" s="1682">
        <v>0</v>
      </c>
      <c r="H140" s="1679"/>
      <c r="I140" s="1682">
        <v>0</v>
      </c>
      <c r="J140" s="1711"/>
      <c r="K140" s="638">
        <f t="shared" si="8"/>
        <v>0.54</v>
      </c>
      <c r="L140" s="723"/>
      <c r="M140" s="2123"/>
      <c r="N140" s="725"/>
    </row>
    <row r="141" spans="1:14">
      <c r="A141" s="720" t="s">
        <v>339</v>
      </c>
      <c r="B141" s="720"/>
      <c r="C141" s="1682">
        <v>-14.29</v>
      </c>
      <c r="D141" s="1679"/>
      <c r="E141" s="1682">
        <v>0</v>
      </c>
      <c r="F141" s="1679"/>
      <c r="G141" s="1682">
        <v>0.96499999999999997</v>
      </c>
      <c r="H141" s="1679"/>
      <c r="I141" s="1682">
        <v>0</v>
      </c>
      <c r="J141" s="1711"/>
      <c r="K141" s="638">
        <f t="shared" si="8"/>
        <v>-15.255000000000001</v>
      </c>
      <c r="L141" s="723"/>
      <c r="M141" s="2123"/>
      <c r="N141" s="2123"/>
    </row>
    <row r="142" spans="1:14">
      <c r="A142" s="720" t="s">
        <v>340</v>
      </c>
      <c r="B142" s="720"/>
      <c r="C142" s="1682">
        <v>-12.942</v>
      </c>
      <c r="D142" s="1679"/>
      <c r="E142" s="1682">
        <v>0</v>
      </c>
      <c r="F142" s="1679"/>
      <c r="G142" s="1682">
        <v>0</v>
      </c>
      <c r="H142" s="1679"/>
      <c r="I142" s="1682">
        <v>0</v>
      </c>
      <c r="J142" s="1711"/>
      <c r="K142" s="638">
        <f t="shared" si="8"/>
        <v>-12.942</v>
      </c>
      <c r="L142" s="723"/>
      <c r="M142" s="2123"/>
      <c r="N142" s="2123"/>
    </row>
    <row r="143" spans="1:14">
      <c r="A143" s="720" t="s">
        <v>341</v>
      </c>
      <c r="B143" s="720"/>
      <c r="C143" s="1682">
        <v>-377.447</v>
      </c>
      <c r="D143" s="1679"/>
      <c r="E143" s="1682">
        <v>0</v>
      </c>
      <c r="F143" s="1679"/>
      <c r="G143" s="1682">
        <v>27.497</v>
      </c>
      <c r="H143" s="1679"/>
      <c r="I143" s="1682">
        <v>0</v>
      </c>
      <c r="J143" s="1711"/>
      <c r="K143" s="638">
        <f t="shared" si="8"/>
        <v>-404.94400000000002</v>
      </c>
      <c r="L143" s="723"/>
      <c r="M143" s="2123"/>
      <c r="N143" s="2123"/>
    </row>
    <row r="144" spans="1:14">
      <c r="A144" s="720" t="s">
        <v>342</v>
      </c>
      <c r="B144" s="720"/>
      <c r="C144" s="1682">
        <v>18.094999999999999</v>
      </c>
      <c r="D144" s="1679"/>
      <c r="E144" s="1682">
        <v>2E-3</v>
      </c>
      <c r="F144" s="1679"/>
      <c r="G144" s="2155">
        <v>3.9E-2</v>
      </c>
      <c r="H144" s="1679"/>
      <c r="I144" s="1682">
        <v>0</v>
      </c>
      <c r="J144" s="1711"/>
      <c r="K144" s="638">
        <f t="shared" si="8"/>
        <v>18.058</v>
      </c>
      <c r="L144" s="723"/>
      <c r="M144" s="2123"/>
      <c r="N144" s="2123"/>
    </row>
    <row r="145" spans="1:15">
      <c r="A145" s="720" t="s">
        <v>880</v>
      </c>
      <c r="B145" s="720"/>
      <c r="C145" s="1682">
        <v>-11.971</v>
      </c>
      <c r="D145" s="1679"/>
      <c r="E145" s="1682">
        <v>0</v>
      </c>
      <c r="F145" s="1679"/>
      <c r="G145" s="1682">
        <v>0</v>
      </c>
      <c r="H145" s="1679"/>
      <c r="I145" s="1682">
        <v>0</v>
      </c>
      <c r="J145" s="1711"/>
      <c r="K145" s="638">
        <f t="shared" si="8"/>
        <v>-11.971</v>
      </c>
      <c r="L145" s="723"/>
      <c r="M145" s="2123"/>
      <c r="N145" s="2123"/>
    </row>
    <row r="146" spans="1:15">
      <c r="A146" s="720" t="s">
        <v>343</v>
      </c>
      <c r="B146" s="720"/>
      <c r="C146" s="1682">
        <v>136.98699999999999</v>
      </c>
      <c r="D146" s="1679"/>
      <c r="E146" s="1682">
        <v>2.94</v>
      </c>
      <c r="F146" s="1679"/>
      <c r="G146" s="1682">
        <v>2.7989999999999999</v>
      </c>
      <c r="H146" s="1679"/>
      <c r="I146" s="1682">
        <v>2.5329999999999999</v>
      </c>
      <c r="J146" s="1711"/>
      <c r="K146" s="638">
        <f t="shared" si="8"/>
        <v>139.661</v>
      </c>
      <c r="L146" s="723"/>
      <c r="M146" s="2123"/>
      <c r="N146" s="2123"/>
    </row>
    <row r="147" spans="1:15">
      <c r="A147" s="720" t="s">
        <v>344</v>
      </c>
      <c r="B147" s="720"/>
      <c r="C147" s="1682">
        <v>4.2000000000000003E-2</v>
      </c>
      <c r="D147" s="1679"/>
      <c r="E147" s="1682">
        <v>6.0000000000000001E-3</v>
      </c>
      <c r="F147" s="1679"/>
      <c r="G147" s="1682">
        <v>0</v>
      </c>
      <c r="H147" s="1679"/>
      <c r="I147" s="1682">
        <v>0</v>
      </c>
      <c r="J147" s="1711"/>
      <c r="K147" s="638">
        <f t="shared" si="8"/>
        <v>4.8000000000000001E-2</v>
      </c>
      <c r="L147" s="723"/>
      <c r="M147" s="2123"/>
      <c r="N147" s="2123"/>
    </row>
    <row r="148" spans="1:15">
      <c r="A148" s="720" t="s">
        <v>345</v>
      </c>
      <c r="B148" s="720"/>
      <c r="C148" s="1682">
        <v>-426.74299999999999</v>
      </c>
      <c r="D148" s="1679"/>
      <c r="E148" s="1682">
        <v>78.36</v>
      </c>
      <c r="F148" s="1679"/>
      <c r="G148" s="1682">
        <v>7.8890000000000002</v>
      </c>
      <c r="H148" s="1679"/>
      <c r="I148" s="1682">
        <v>0</v>
      </c>
      <c r="J148" s="1711"/>
      <c r="K148" s="638">
        <f t="shared" si="8"/>
        <v>-356.27199999999999</v>
      </c>
      <c r="L148" s="2126"/>
      <c r="M148" s="2123"/>
      <c r="N148" s="2123"/>
    </row>
    <row r="149" spans="1:15">
      <c r="A149" s="720" t="s">
        <v>346</v>
      </c>
      <c r="B149" s="720"/>
      <c r="C149" s="1682">
        <v>-169.12700000000001</v>
      </c>
      <c r="D149" s="1679"/>
      <c r="E149" s="1682">
        <v>0</v>
      </c>
      <c r="F149" s="1679"/>
      <c r="G149" s="2155">
        <v>17.731000000000002</v>
      </c>
      <c r="H149" s="1679"/>
      <c r="I149" s="1682">
        <v>0</v>
      </c>
      <c r="J149" s="1711"/>
      <c r="K149" s="638">
        <f t="shared" si="8"/>
        <v>-186.858</v>
      </c>
      <c r="L149" s="723"/>
      <c r="M149" s="2123"/>
      <c r="N149" s="2123"/>
    </row>
    <row r="150" spans="1:15">
      <c r="A150" s="720" t="s">
        <v>347</v>
      </c>
      <c r="B150" s="720"/>
      <c r="C150" s="1682">
        <v>119.675</v>
      </c>
      <c r="D150" s="1679"/>
      <c r="E150" s="1682">
        <v>0.01</v>
      </c>
      <c r="F150" s="1679"/>
      <c r="G150" s="2155">
        <v>6.6369999999999996</v>
      </c>
      <c r="H150" s="1679"/>
      <c r="I150" s="1682">
        <v>-0.63900000000000001</v>
      </c>
      <c r="J150" s="1711"/>
      <c r="K150" s="638">
        <f t="shared" si="8"/>
        <v>112.40900000000001</v>
      </c>
      <c r="L150" s="723"/>
      <c r="M150" s="2123"/>
      <c r="N150" s="2123"/>
    </row>
    <row r="151" spans="1:15">
      <c r="A151" s="720" t="s">
        <v>348</v>
      </c>
      <c r="B151" s="720"/>
      <c r="C151" s="1682">
        <v>-54.228000000000002</v>
      </c>
      <c r="D151" s="1679"/>
      <c r="E151" s="1682">
        <v>5.8999999999999997E-2</v>
      </c>
      <c r="F151" s="1679"/>
      <c r="G151" s="1682">
        <v>4.2000000000000003E-2</v>
      </c>
      <c r="H151" s="1679"/>
      <c r="I151" s="1682">
        <v>0</v>
      </c>
      <c r="J151" s="1711"/>
      <c r="K151" s="638">
        <f t="shared" si="8"/>
        <v>-54.210999999999999</v>
      </c>
      <c r="L151" s="723"/>
      <c r="M151" s="2123"/>
      <c r="N151" s="725"/>
    </row>
    <row r="152" spans="1:15">
      <c r="A152" s="720" t="s">
        <v>1123</v>
      </c>
      <c r="B152" s="720"/>
      <c r="C152" s="1682">
        <v>96.722999999999999</v>
      </c>
      <c r="D152" s="1679"/>
      <c r="E152" s="1682">
        <v>1E-3</v>
      </c>
      <c r="F152" s="1679"/>
      <c r="G152" s="1682">
        <v>13.115</v>
      </c>
      <c r="H152" s="1679"/>
      <c r="I152" s="1682">
        <v>0</v>
      </c>
      <c r="J152" s="1711"/>
      <c r="K152" s="638">
        <f t="shared" si="8"/>
        <v>83.608999999999995</v>
      </c>
      <c r="L152" s="723"/>
      <c r="M152" s="2123"/>
      <c r="N152" s="2123"/>
    </row>
    <row r="153" spans="1:15">
      <c r="A153" s="435" t="s">
        <v>1392</v>
      </c>
      <c r="B153" s="720"/>
      <c r="C153" s="436">
        <f>ROUND(SUM(C114:C152),3)</f>
        <v>-1143.9970000000001</v>
      </c>
      <c r="D153" s="435"/>
      <c r="E153" s="436">
        <f>ROUND(SUM(E114:E152),3)</f>
        <v>271.786</v>
      </c>
      <c r="F153" s="435"/>
      <c r="G153" s="436">
        <f>ROUND(SUM(G114:G152),3)</f>
        <v>730.02</v>
      </c>
      <c r="H153" s="435"/>
      <c r="I153" s="436">
        <f>ROUND(SUM(I114:I152),3)</f>
        <v>480.43599999999998</v>
      </c>
      <c r="J153" s="435"/>
      <c r="K153" s="436">
        <f>ROUND(SUM(K114:K152),3)</f>
        <v>-1121.7950000000001</v>
      </c>
      <c r="L153" s="437"/>
      <c r="M153" s="3014"/>
      <c r="N153" s="3014"/>
      <c r="O153" s="3021"/>
    </row>
    <row r="154" spans="1:15">
      <c r="A154" s="435"/>
      <c r="B154" s="720"/>
      <c r="C154" s="722"/>
      <c r="D154" s="720"/>
      <c r="E154" s="726"/>
      <c r="F154" s="727"/>
      <c r="G154" s="726"/>
      <c r="H154" s="727"/>
      <c r="I154" s="726"/>
      <c r="J154" s="720"/>
      <c r="K154" s="722"/>
      <c r="L154" s="722"/>
    </row>
    <row r="155" spans="1:15" ht="16" thickBot="1">
      <c r="A155" s="435" t="s">
        <v>349</v>
      </c>
      <c r="B155" s="438"/>
      <c r="C155" s="439">
        <f>ROUND(SUM(C24+C101+C111+C153),3)</f>
        <v>18751.091</v>
      </c>
      <c r="D155" s="438"/>
      <c r="E155" s="439">
        <f>ROUND(SUM(E24+E101+E111+E153),3)</f>
        <v>18085.7</v>
      </c>
      <c r="F155" s="440"/>
      <c r="G155" s="439">
        <f>ROUND(SUM(G24+G101+G111+G153),3)</f>
        <v>11899.183999999999</v>
      </c>
      <c r="H155" s="440"/>
      <c r="I155" s="439">
        <f>ROUND(SUM(I24+I101+I111+I153),3)</f>
        <v>-5.3979999999999997</v>
      </c>
      <c r="J155" s="438"/>
      <c r="K155" s="439">
        <f>ROUND(SUM(K24+K101+K111+K153),3)</f>
        <v>24932.208999999999</v>
      </c>
      <c r="L155" s="441"/>
    </row>
    <row r="156" spans="1:15" ht="16" thickTop="1">
      <c r="A156" s="720"/>
      <c r="B156" s="720"/>
      <c r="C156" s="722" t="s">
        <v>14</v>
      </c>
      <c r="D156" s="720"/>
      <c r="E156" s="722"/>
      <c r="F156" s="720"/>
      <c r="G156" s="722"/>
      <c r="H156" s="720"/>
      <c r="I156" s="722"/>
      <c r="J156" s="720"/>
      <c r="K156" s="722"/>
      <c r="L156" s="722"/>
    </row>
    <row r="157" spans="1:15">
      <c r="A157" s="720"/>
      <c r="B157" s="720"/>
      <c r="C157" s="720" t="s">
        <v>14</v>
      </c>
      <c r="D157" s="720"/>
      <c r="E157" s="720"/>
      <c r="F157" s="720"/>
      <c r="G157" s="720"/>
      <c r="H157" s="720"/>
      <c r="I157" s="720"/>
      <c r="J157" s="720"/>
      <c r="K157" s="720"/>
      <c r="L157" s="722"/>
    </row>
    <row r="158" spans="1:15">
      <c r="A158" s="434"/>
      <c r="B158" s="720"/>
      <c r="C158" s="720"/>
      <c r="D158" s="720"/>
      <c r="E158" s="3419"/>
      <c r="F158" s="720"/>
      <c r="G158" s="720" t="s">
        <v>14</v>
      </c>
      <c r="H158" s="720"/>
      <c r="I158" s="727" t="s">
        <v>14</v>
      </c>
      <c r="J158" s="720"/>
      <c r="K158" s="3420" t="s">
        <v>14</v>
      </c>
      <c r="L158" s="722"/>
    </row>
    <row r="159" spans="1:15">
      <c r="A159" s="720" t="s">
        <v>14</v>
      </c>
      <c r="B159" s="720"/>
      <c r="C159" s="720"/>
      <c r="D159" s="720"/>
      <c r="E159" s="720"/>
      <c r="F159" s="720"/>
      <c r="G159" s="724" t="s">
        <v>14</v>
      </c>
      <c r="H159" s="720"/>
      <c r="I159" s="720" t="s">
        <v>14</v>
      </c>
      <c r="J159" s="720"/>
      <c r="K159" s="720" t="s">
        <v>14</v>
      </c>
      <c r="L159" s="722"/>
    </row>
    <row r="160" spans="1:15">
      <c r="A160" s="720"/>
      <c r="B160" s="720"/>
      <c r="C160" s="720"/>
      <c r="D160" s="720"/>
      <c r="E160" s="720"/>
      <c r="F160" s="720"/>
      <c r="G160" s="720"/>
      <c r="H160" s="720"/>
      <c r="I160" s="720" t="s">
        <v>14</v>
      </c>
      <c r="J160" s="720"/>
      <c r="K160" s="720" t="s">
        <v>14</v>
      </c>
      <c r="L160" s="722"/>
    </row>
    <row r="161" spans="1:12">
      <c r="A161" s="728"/>
      <c r="B161" s="720"/>
      <c r="C161" s="720"/>
      <c r="D161" s="720"/>
      <c r="E161" s="720"/>
      <c r="F161" s="720"/>
      <c r="G161" s="720"/>
      <c r="H161" s="720"/>
      <c r="I161" s="729" t="s">
        <v>14</v>
      </c>
      <c r="J161" s="720"/>
      <c r="K161" s="720" t="s">
        <v>14</v>
      </c>
      <c r="L161" s="722"/>
    </row>
    <row r="162" spans="1:12">
      <c r="I162" s="3897" t="s">
        <v>14</v>
      </c>
      <c r="K162" s="3015" t="s">
        <v>14</v>
      </c>
    </row>
    <row r="163" spans="1:12">
      <c r="I163" s="2208"/>
    </row>
    <row r="164" spans="1:12">
      <c r="I164" s="2208"/>
    </row>
    <row r="165" spans="1:12">
      <c r="I165" s="2208"/>
    </row>
    <row r="166" spans="1:12">
      <c r="I166" s="441"/>
    </row>
    <row r="167" spans="1:12">
      <c r="I167" s="2208"/>
    </row>
    <row r="168" spans="1:12">
      <c r="I168" s="2208"/>
    </row>
    <row r="169" spans="1:12">
      <c r="I169" s="2208"/>
    </row>
    <row r="170" spans="1:12">
      <c r="I170" s="2208"/>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765625" defaultRowHeight="17.5"/>
  <cols>
    <col min="1" max="1" width="55.765625" style="2209" customWidth="1"/>
    <col min="2" max="2" width="6.07421875" style="2209" customWidth="1"/>
    <col min="3" max="3" width="20.07421875" style="2209" customWidth="1"/>
    <col min="4" max="4" width="3.07421875" style="2209" customWidth="1"/>
    <col min="5" max="5" width="17.07421875" style="2209" customWidth="1"/>
    <col min="6" max="6" width="3.53515625" style="2209" customWidth="1"/>
    <col min="7" max="7" width="18.07421875" style="2209" customWidth="1"/>
    <col min="8" max="8" width="3.07421875" style="2209" customWidth="1"/>
    <col min="9" max="9" width="18.53515625" style="2209" customWidth="1"/>
    <col min="10" max="10" width="3.4609375" style="2209" customWidth="1"/>
    <col min="11" max="11" width="22.07421875" style="2209" customWidth="1"/>
    <col min="12" max="12" width="15.53515625" style="2209" customWidth="1"/>
    <col min="13" max="13" width="9.765625" style="2209" bestFit="1" customWidth="1"/>
    <col min="14" max="16384" width="8.765625" style="2209"/>
  </cols>
  <sheetData>
    <row r="1" spans="1:15">
      <c r="A1" s="1493" t="s">
        <v>885</v>
      </c>
    </row>
    <row r="2" spans="1:15">
      <c r="A2" s="3044"/>
    </row>
    <row r="3" spans="1:15" s="444" customFormat="1" ht="18" customHeight="1">
      <c r="A3" s="448" t="s">
        <v>0</v>
      </c>
      <c r="B3" s="3045"/>
      <c r="C3" s="3045"/>
      <c r="D3" s="3045"/>
      <c r="E3" s="2210"/>
      <c r="F3" s="2210"/>
      <c r="G3" s="442"/>
      <c r="H3" s="442"/>
      <c r="I3" s="448"/>
      <c r="J3" s="448"/>
      <c r="K3" s="451" t="s">
        <v>350</v>
      </c>
      <c r="L3" s="442"/>
      <c r="M3" s="442"/>
      <c r="N3" s="442"/>
      <c r="O3" s="442"/>
    </row>
    <row r="4" spans="1:15" s="444" customFormat="1" ht="18" customHeight="1">
      <c r="A4" s="448" t="s">
        <v>351</v>
      </c>
      <c r="B4" s="3045"/>
      <c r="C4" s="3045"/>
      <c r="D4" s="3045"/>
      <c r="E4" s="2210"/>
      <c r="F4" s="2210"/>
      <c r="G4" s="442"/>
      <c r="H4" s="442"/>
      <c r="I4" s="448"/>
      <c r="J4" s="448"/>
      <c r="K4" s="448"/>
      <c r="L4" s="442"/>
      <c r="M4" s="442"/>
      <c r="N4" s="442"/>
      <c r="O4" s="442"/>
    </row>
    <row r="5" spans="1:15" s="444" customFormat="1" ht="18" customHeight="1">
      <c r="A5" s="454" t="s">
        <v>1195</v>
      </c>
      <c r="B5" s="3045"/>
      <c r="C5" s="3045"/>
      <c r="D5" s="3045"/>
      <c r="E5" s="2210"/>
      <c r="F5" s="2210"/>
      <c r="G5" s="442"/>
      <c r="H5" s="442"/>
      <c r="I5" s="448"/>
      <c r="J5" s="448"/>
      <c r="K5" s="448"/>
      <c r="L5" s="442"/>
      <c r="M5" s="442"/>
      <c r="N5" s="442"/>
      <c r="O5" s="442"/>
    </row>
    <row r="6" spans="1:15" s="444" customFormat="1" ht="18" customHeight="1">
      <c r="A6" s="454" t="s">
        <v>352</v>
      </c>
      <c r="B6" s="3045"/>
      <c r="C6" s="3045"/>
      <c r="D6" s="3045"/>
      <c r="E6" s="2210"/>
      <c r="F6" s="2210"/>
      <c r="G6" s="442"/>
      <c r="H6" s="442"/>
      <c r="I6" s="448"/>
      <c r="J6" s="448"/>
      <c r="K6" s="448"/>
      <c r="L6" s="442"/>
      <c r="M6" s="442"/>
      <c r="N6" s="442"/>
      <c r="O6" s="442"/>
    </row>
    <row r="7" spans="1:15" s="444" customFormat="1" ht="18" customHeight="1">
      <c r="A7" s="454" t="str">
        <f>'Sch 1 '!A7</f>
        <v>FISCAL YEAR 2021-2022</v>
      </c>
      <c r="B7" s="3045"/>
      <c r="C7" s="3045"/>
      <c r="D7" s="3045"/>
      <c r="E7" s="2210"/>
      <c r="F7" s="2210"/>
      <c r="G7" s="442"/>
      <c r="H7" s="442"/>
      <c r="I7" s="448"/>
      <c r="J7" s="448"/>
      <c r="K7" s="448"/>
      <c r="L7" s="442"/>
      <c r="M7" s="442"/>
      <c r="N7" s="442"/>
      <c r="O7" s="442"/>
    </row>
    <row r="8" spans="1:15" s="444" customFormat="1" ht="18" customHeight="1">
      <c r="A8" s="454" t="str">
        <f>'Sch 1 '!A8</f>
        <v>FOR THE MONTH OF APRIL 2021</v>
      </c>
      <c r="B8" s="3045"/>
      <c r="C8" s="3045"/>
      <c r="D8" s="3045"/>
      <c r="E8" s="2210"/>
      <c r="G8" s="2210"/>
      <c r="H8" s="442"/>
      <c r="I8" s="448"/>
      <c r="J8" s="448"/>
      <c r="K8" s="448"/>
      <c r="L8" s="442"/>
      <c r="M8" s="442"/>
      <c r="N8" s="442"/>
      <c r="O8" s="442"/>
    </row>
    <row r="9" spans="1:15" s="444" customFormat="1" ht="18" customHeight="1">
      <c r="A9" s="448" t="s">
        <v>1280</v>
      </c>
      <c r="B9" s="3045"/>
      <c r="C9" s="3045"/>
      <c r="D9" s="3045"/>
      <c r="E9" s="2210"/>
      <c r="F9" s="2210"/>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86"/>
      <c r="D12" s="448"/>
      <c r="E12" s="448"/>
      <c r="F12" s="448"/>
      <c r="G12" s="448"/>
      <c r="H12" s="448"/>
      <c r="I12" s="686" t="s">
        <v>353</v>
      </c>
      <c r="J12" s="448"/>
      <c r="K12" s="686"/>
      <c r="L12" s="442"/>
      <c r="M12" s="442"/>
      <c r="N12" s="442"/>
      <c r="O12" s="442"/>
    </row>
    <row r="13" spans="1:15" s="444" customFormat="1" ht="18">
      <c r="A13" s="448"/>
      <c r="B13" s="448"/>
      <c r="C13" s="686" t="s">
        <v>232</v>
      </c>
      <c r="D13" s="448"/>
      <c r="E13" s="448"/>
      <c r="F13" s="448"/>
      <c r="G13" s="448"/>
      <c r="H13" s="448"/>
      <c r="I13" s="686" t="s">
        <v>354</v>
      </c>
      <c r="J13" s="448"/>
      <c r="K13" s="686" t="s">
        <v>232</v>
      </c>
      <c r="L13" s="442"/>
      <c r="M13" s="442"/>
      <c r="N13" s="442"/>
      <c r="O13" s="442"/>
    </row>
    <row r="14" spans="1:15" s="444" customFormat="1" ht="18">
      <c r="A14" s="468" t="s">
        <v>355</v>
      </c>
      <c r="B14" s="448"/>
      <c r="C14" s="3426" t="str">
        <f>'Sch 1 '!C11</f>
        <v>APRIL 1, 2021</v>
      </c>
      <c r="D14" s="448"/>
      <c r="E14" s="686" t="s">
        <v>234</v>
      </c>
      <c r="F14" s="448"/>
      <c r="G14" s="686" t="s">
        <v>235</v>
      </c>
      <c r="H14" s="448"/>
      <c r="I14" s="686" t="s">
        <v>236</v>
      </c>
      <c r="J14" s="448"/>
      <c r="K14" s="900" t="str">
        <f>'Sch 1 '!K11</f>
        <v>APRIL 30, 2021</v>
      </c>
      <c r="L14" s="442"/>
      <c r="M14" s="442"/>
      <c r="N14" s="442"/>
      <c r="O14" s="442"/>
    </row>
    <row r="15" spans="1:15" s="444" customFormat="1" ht="12" customHeight="1">
      <c r="A15" s="442"/>
      <c r="B15" s="442"/>
      <c r="C15" s="3427"/>
      <c r="D15" s="442"/>
      <c r="E15" s="2211"/>
      <c r="F15" s="442"/>
      <c r="G15" s="2211"/>
      <c r="H15" s="442"/>
      <c r="I15" s="2211"/>
      <c r="J15" s="442"/>
      <c r="K15" s="2211"/>
      <c r="L15" s="442"/>
      <c r="M15" s="442"/>
      <c r="N15" s="442"/>
      <c r="O15" s="442"/>
    </row>
    <row r="16" spans="1:15" s="444" customFormat="1" ht="18">
      <c r="A16" s="455" t="s">
        <v>214</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5" customHeight="1">
      <c r="A18" s="3883" t="s">
        <v>1553</v>
      </c>
      <c r="B18" s="442"/>
      <c r="C18" s="1683">
        <v>171.83500000000001</v>
      </c>
      <c r="D18" s="1684"/>
      <c r="E18" s="1683">
        <v>8.0530000000000008</v>
      </c>
      <c r="F18" s="1684"/>
      <c r="G18" s="1683">
        <v>8.7439999999999998</v>
      </c>
      <c r="H18" s="1684"/>
      <c r="I18" s="1683">
        <v>0</v>
      </c>
      <c r="J18" s="3029"/>
      <c r="K18" s="1686">
        <f t="shared" ref="K18" si="0">ROUND(SUM(C18)+SUM(E18)-SUM(G18)+SUM(I18),3)</f>
        <v>171.14400000000001</v>
      </c>
      <c r="L18" s="442"/>
      <c r="M18" s="442"/>
      <c r="N18" s="442"/>
      <c r="O18" s="442"/>
    </row>
    <row r="19" spans="1:15" s="444" customFormat="1" ht="16.149999999999999" customHeight="1">
      <c r="A19" s="442" t="s">
        <v>356</v>
      </c>
      <c r="B19" s="443"/>
      <c r="C19" s="1687">
        <v>0.11700000000000001</v>
      </c>
      <c r="D19" s="1684"/>
      <c r="E19" s="1687">
        <v>4.0000000000000001E-3</v>
      </c>
      <c r="F19" s="1684"/>
      <c r="G19" s="1687">
        <v>7.0000000000000001E-3</v>
      </c>
      <c r="H19" s="1684"/>
      <c r="I19" s="1687">
        <v>0</v>
      </c>
      <c r="J19" s="3029"/>
      <c r="K19" s="1688">
        <f t="shared" ref="K19:K25" si="1">ROUND(SUM(C19)+SUM(E19)-SUM(G19)+SUM(I19),3)</f>
        <v>0.114</v>
      </c>
      <c r="L19" s="442"/>
      <c r="M19" s="442"/>
      <c r="N19" s="442"/>
      <c r="O19" s="442"/>
    </row>
    <row r="20" spans="1:15" s="444" customFormat="1" ht="15.75" customHeight="1">
      <c r="A20" s="442" t="s">
        <v>357</v>
      </c>
      <c r="B20" s="442"/>
      <c r="C20" s="1687">
        <v>0.57999999999999996</v>
      </c>
      <c r="D20" s="1684"/>
      <c r="E20" s="1687">
        <v>3.6999999999999998E-2</v>
      </c>
      <c r="F20" s="1684"/>
      <c r="G20" s="1687">
        <v>0.28399999999999997</v>
      </c>
      <c r="H20" s="1684"/>
      <c r="I20" s="1687">
        <v>3</v>
      </c>
      <c r="J20" s="3029"/>
      <c r="K20" s="1688">
        <f>ROUND(SUM(C20)+SUM(E20)-SUM(G20)+SUM(I20),3)</f>
        <v>3.3330000000000002</v>
      </c>
      <c r="L20" s="442" t="s">
        <v>14</v>
      </c>
      <c r="M20" s="442"/>
      <c r="N20" s="442"/>
      <c r="O20" s="442"/>
    </row>
    <row r="21" spans="1:15" s="444" customFormat="1" ht="16.399999999999999" customHeight="1">
      <c r="A21" s="442" t="s">
        <v>358</v>
      </c>
      <c r="B21" s="442"/>
      <c r="C21" s="1687">
        <v>3.7109999999999999</v>
      </c>
      <c r="D21" s="1684"/>
      <c r="E21" s="1687">
        <v>3.032</v>
      </c>
      <c r="F21" s="1684"/>
      <c r="G21" s="1687">
        <v>2.524</v>
      </c>
      <c r="H21" s="1684"/>
      <c r="I21" s="1687">
        <v>0</v>
      </c>
      <c r="J21" s="3029"/>
      <c r="K21" s="1688">
        <f t="shared" si="1"/>
        <v>4.2190000000000003</v>
      </c>
      <c r="L21" s="442"/>
      <c r="M21" s="442"/>
      <c r="N21" s="442"/>
      <c r="O21" s="442"/>
    </row>
    <row r="22" spans="1:15" s="444" customFormat="1" ht="16.399999999999999" customHeight="1">
      <c r="A22" s="442" t="s">
        <v>917</v>
      </c>
      <c r="B22" s="442"/>
      <c r="C22" s="1687">
        <v>12.353999999999999</v>
      </c>
      <c r="D22" s="1684"/>
      <c r="E22" s="1687">
        <v>0.14399999999999999</v>
      </c>
      <c r="F22" s="1684"/>
      <c r="G22" s="1687">
        <v>1.006</v>
      </c>
      <c r="H22" s="1684"/>
      <c r="I22" s="1687">
        <v>0</v>
      </c>
      <c r="J22" s="3029"/>
      <c r="K22" s="1688">
        <f t="shared" si="1"/>
        <v>11.492000000000001</v>
      </c>
      <c r="L22" s="442" t="s">
        <v>14</v>
      </c>
      <c r="M22" s="442"/>
      <c r="N22" s="442"/>
      <c r="O22" s="442"/>
    </row>
    <row r="23" spans="1:15" s="444" customFormat="1" ht="16.399999999999999" customHeight="1">
      <c r="A23" s="442" t="s">
        <v>918</v>
      </c>
      <c r="B23" s="442"/>
      <c r="C23" s="1687">
        <v>2.25</v>
      </c>
      <c r="D23" s="1684"/>
      <c r="E23" s="1687">
        <v>8.9999999999999993E-3</v>
      </c>
      <c r="F23" s="1684"/>
      <c r="G23" s="1687">
        <v>6.0000000000000001E-3</v>
      </c>
      <c r="H23" s="1684"/>
      <c r="I23" s="1687">
        <v>0</v>
      </c>
      <c r="J23" s="3029"/>
      <c r="K23" s="1688">
        <f t="shared" si="1"/>
        <v>2.2530000000000001</v>
      </c>
      <c r="L23" s="442" t="s">
        <v>14</v>
      </c>
      <c r="M23" s="442"/>
      <c r="N23" s="442"/>
      <c r="O23" s="442"/>
    </row>
    <row r="24" spans="1:15" s="444" customFormat="1" ht="16.399999999999999" customHeight="1">
      <c r="A24" s="442" t="s">
        <v>919</v>
      </c>
      <c r="B24" s="442"/>
      <c r="C24" s="1687">
        <v>2.1070000000000002</v>
      </c>
      <c r="D24" s="1684"/>
      <c r="E24" s="1687">
        <v>0</v>
      </c>
      <c r="F24" s="1684"/>
      <c r="G24" s="1687">
        <v>6.0000000000000001E-3</v>
      </c>
      <c r="H24" s="1684"/>
      <c r="I24" s="1687">
        <v>0</v>
      </c>
      <c r="J24" s="3029"/>
      <c r="K24" s="1688">
        <f t="shared" si="1"/>
        <v>2.101</v>
      </c>
      <c r="L24" s="442"/>
      <c r="M24" s="442"/>
      <c r="N24" s="442"/>
      <c r="O24" s="442"/>
    </row>
    <row r="25" spans="1:15" s="444" customFormat="1" ht="16.399999999999999" customHeight="1">
      <c r="A25" s="442" t="s">
        <v>359</v>
      </c>
      <c r="B25" s="442"/>
      <c r="C25" s="1687">
        <v>4.8209999999999997</v>
      </c>
      <c r="D25" s="1684"/>
      <c r="E25" s="1687">
        <v>0.04</v>
      </c>
      <c r="F25" s="1684"/>
      <c r="G25" s="1687">
        <v>5.6000000000000001E-2</v>
      </c>
      <c r="H25" s="1684"/>
      <c r="I25" s="1687">
        <v>0</v>
      </c>
      <c r="J25" s="3029"/>
      <c r="K25" s="1688">
        <f t="shared" si="1"/>
        <v>4.8049999999999997</v>
      </c>
      <c r="L25" s="442"/>
      <c r="M25" s="442"/>
      <c r="N25" s="442"/>
      <c r="O25" s="442"/>
    </row>
    <row r="26" spans="1:15" s="444" customFormat="1" ht="16.399999999999999" customHeight="1">
      <c r="A26" s="3400" t="s">
        <v>1296</v>
      </c>
      <c r="B26" s="442"/>
      <c r="C26" s="1687">
        <v>119.65300000000001</v>
      </c>
      <c r="D26" s="1684"/>
      <c r="E26" s="1687">
        <v>4909.8419999999996</v>
      </c>
      <c r="F26" s="1684"/>
      <c r="G26" s="1687">
        <v>4967.0770000000002</v>
      </c>
      <c r="H26" s="1684"/>
      <c r="I26" s="1687">
        <v>0</v>
      </c>
      <c r="J26" s="3029"/>
      <c r="K26" s="1688">
        <f>ROUND(SUM(C26)+SUM(E26)-SUM(G26)+SUM(I26),3)</f>
        <v>62.417999999999999</v>
      </c>
      <c r="L26" s="442"/>
      <c r="M26" s="442"/>
      <c r="N26" s="442"/>
      <c r="O26" s="442"/>
    </row>
    <row r="27" spans="1:15" s="444" customFormat="1" ht="16.399999999999999" customHeight="1">
      <c r="A27" s="452" t="s">
        <v>382</v>
      </c>
      <c r="B27" s="442"/>
      <c r="C27" s="1687">
        <v>10.571999999999999</v>
      </c>
      <c r="D27" s="1684"/>
      <c r="E27" s="1687">
        <v>250.49299999999999</v>
      </c>
      <c r="F27" s="1684"/>
      <c r="G27" s="1687">
        <v>192.05</v>
      </c>
      <c r="H27" s="1684"/>
      <c r="I27" s="1687">
        <v>0</v>
      </c>
      <c r="J27" s="3029"/>
      <c r="K27" s="1688">
        <f>ROUND(SUM(C27)+SUM(E27)-SUM(G27)+SUM(I27),3)</f>
        <v>69.015000000000001</v>
      </c>
      <c r="L27" s="442"/>
      <c r="M27" s="442"/>
      <c r="N27" s="442"/>
      <c r="O27" s="442"/>
    </row>
    <row r="28" spans="1:15" s="444" customFormat="1" ht="20.149999999999999" customHeight="1">
      <c r="A28" s="448" t="s">
        <v>360</v>
      </c>
      <c r="B28" s="442"/>
      <c r="C28" s="1545">
        <f>ROUND(SUM(C18:C27),3)</f>
        <v>328</v>
      </c>
      <c r="D28" s="1573"/>
      <c r="E28" s="1545">
        <f>ROUND(SUM(E18:E27),3)</f>
        <v>5171.6540000000005</v>
      </c>
      <c r="F28" s="1573"/>
      <c r="G28" s="1545">
        <f>ROUND(SUM(G18:G27),3)</f>
        <v>5171.76</v>
      </c>
      <c r="H28" s="693"/>
      <c r="I28" s="1545">
        <f>ROUND(SUM(I18:I27),3)</f>
        <v>3</v>
      </c>
      <c r="J28" s="693"/>
      <c r="K28" s="1545">
        <f>ROUND(SUM(K18:K27),3)</f>
        <v>330.89400000000001</v>
      </c>
      <c r="L28" s="3030"/>
      <c r="M28" s="442"/>
      <c r="N28" s="442"/>
      <c r="O28" s="442"/>
    </row>
    <row r="29" spans="1:15" s="444" customFormat="1" ht="15" customHeight="1">
      <c r="A29" s="442"/>
      <c r="B29" s="442"/>
      <c r="C29" s="695"/>
      <c r="D29" s="445"/>
      <c r="E29" s="695"/>
      <c r="F29" s="445"/>
      <c r="G29" s="695"/>
      <c r="H29" s="445"/>
      <c r="I29" s="446"/>
      <c r="J29" s="445"/>
      <c r="K29" s="695"/>
      <c r="L29" s="442"/>
      <c r="M29" s="442"/>
      <c r="N29" s="442"/>
      <c r="O29" s="442"/>
    </row>
    <row r="30" spans="1:15" s="444" customFormat="1" ht="15" customHeight="1">
      <c r="A30" s="442"/>
      <c r="B30" s="442"/>
      <c r="C30" s="445"/>
      <c r="D30" s="3040" t="s">
        <v>231</v>
      </c>
      <c r="E30" s="445"/>
      <c r="F30" s="445"/>
      <c r="G30" s="445"/>
      <c r="H30" s="445"/>
      <c r="I30" s="445"/>
      <c r="J30" s="445"/>
      <c r="K30" s="445"/>
      <c r="L30" s="442"/>
      <c r="M30" s="442"/>
      <c r="N30" s="442"/>
      <c r="O30" s="442"/>
    </row>
    <row r="31" spans="1:15" s="444" customFormat="1" ht="15" customHeight="1">
      <c r="A31" s="442"/>
      <c r="B31" s="442"/>
      <c r="C31" s="445"/>
      <c r="D31" s="445"/>
      <c r="E31" s="445"/>
      <c r="F31" s="445"/>
      <c r="G31" s="445"/>
      <c r="H31" s="445"/>
      <c r="I31" s="445"/>
      <c r="J31" s="445"/>
      <c r="K31" s="445"/>
      <c r="L31" s="442"/>
      <c r="M31" s="442"/>
      <c r="N31" s="442"/>
      <c r="O31" s="442"/>
    </row>
    <row r="32" spans="1:15" s="444" customFormat="1" ht="18" customHeight="1">
      <c r="A32" s="455" t="s">
        <v>219</v>
      </c>
      <c r="B32" s="442"/>
      <c r="C32" s="445"/>
      <c r="D32" s="445"/>
      <c r="E32" s="445"/>
      <c r="F32" s="445"/>
      <c r="G32" s="445"/>
      <c r="H32" s="445"/>
      <c r="I32" s="445"/>
      <c r="J32" s="445"/>
      <c r="K32" s="445"/>
      <c r="L32" s="442"/>
      <c r="M32" s="442"/>
      <c r="N32" s="442"/>
      <c r="O32" s="442"/>
    </row>
    <row r="33" spans="1:15" s="444" customFormat="1" ht="15" customHeight="1">
      <c r="A33" s="455"/>
      <c r="B33" s="442"/>
      <c r="C33" s="445"/>
      <c r="D33" s="445"/>
      <c r="E33" s="445"/>
      <c r="F33" s="445"/>
      <c r="G33" s="445"/>
      <c r="H33" s="445"/>
      <c r="I33" s="445"/>
      <c r="J33" s="445"/>
      <c r="K33" s="445"/>
      <c r="L33" s="442"/>
      <c r="M33" s="442"/>
      <c r="N33" s="442"/>
      <c r="O33" s="442"/>
    </row>
    <row r="34" spans="1:15" s="444" customFormat="1" ht="16.399999999999999" customHeight="1">
      <c r="A34" s="442" t="s">
        <v>920</v>
      </c>
      <c r="B34" s="442"/>
      <c r="C34" s="1687">
        <v>-76.849000000000004</v>
      </c>
      <c r="D34" s="1684"/>
      <c r="E34" s="1687">
        <v>21.103000000000002</v>
      </c>
      <c r="F34" s="1684"/>
      <c r="G34" s="1687">
        <v>16.021999999999998</v>
      </c>
      <c r="H34" s="1684"/>
      <c r="I34" s="3616">
        <v>0.186</v>
      </c>
      <c r="J34" s="3029"/>
      <c r="K34" s="1688">
        <f t="shared" ref="K34:K41" si="2">ROUND(SUM(C34)+SUM(E34)-SUM(G34)+SUM(I34),3)</f>
        <v>-71.581999999999994</v>
      </c>
      <c r="L34" s="442"/>
      <c r="M34" s="445"/>
      <c r="N34" s="442"/>
      <c r="O34" s="442"/>
    </row>
    <row r="35" spans="1:15" s="444" customFormat="1" ht="16.399999999999999" customHeight="1">
      <c r="A35" s="442" t="s">
        <v>361</v>
      </c>
      <c r="B35" s="442"/>
      <c r="C35" s="1687">
        <v>-201.53299999999999</v>
      </c>
      <c r="D35" s="1684"/>
      <c r="E35" s="1687">
        <v>31.126999999999999</v>
      </c>
      <c r="F35" s="1684"/>
      <c r="G35" s="1687">
        <v>21.111000000000001</v>
      </c>
      <c r="H35" s="1684"/>
      <c r="I35" s="1687">
        <v>2.456</v>
      </c>
      <c r="J35" s="3029"/>
      <c r="K35" s="1688">
        <f t="shared" si="2"/>
        <v>-189.06100000000001</v>
      </c>
      <c r="L35" s="442"/>
      <c r="M35" s="445"/>
      <c r="N35" s="442"/>
      <c r="O35" s="442"/>
    </row>
    <row r="36" spans="1:15" s="444" customFormat="1" ht="16.399999999999999" customHeight="1">
      <c r="A36" s="442" t="s">
        <v>362</v>
      </c>
      <c r="B36" s="442"/>
      <c r="C36" s="1687">
        <v>0.16400000000000001</v>
      </c>
      <c r="D36" s="1684"/>
      <c r="E36" s="1687">
        <v>8.0000000000000002E-3</v>
      </c>
      <c r="F36" s="1684"/>
      <c r="G36" s="1687">
        <v>5.5E-2</v>
      </c>
      <c r="H36" s="1684"/>
      <c r="I36" s="1687">
        <v>0</v>
      </c>
      <c r="J36" s="3029"/>
      <c r="K36" s="1688">
        <f t="shared" si="2"/>
        <v>0.11700000000000001</v>
      </c>
      <c r="L36" s="442" t="s">
        <v>14</v>
      </c>
      <c r="M36" s="445"/>
      <c r="N36" s="442"/>
      <c r="O36" s="442"/>
    </row>
    <row r="37" spans="1:15" s="444" customFormat="1" ht="16.399999999999999" customHeight="1">
      <c r="A37" s="442" t="s">
        <v>363</v>
      </c>
      <c r="B37" s="442"/>
      <c r="C37" s="1687">
        <v>6.5000000000000002E-2</v>
      </c>
      <c r="D37" s="1684"/>
      <c r="E37" s="1687">
        <v>0</v>
      </c>
      <c r="F37" s="1684"/>
      <c r="G37" s="1687">
        <v>2E-3</v>
      </c>
      <c r="H37" s="1684"/>
      <c r="I37" s="1687">
        <v>0</v>
      </c>
      <c r="J37" s="3029"/>
      <c r="K37" s="1688">
        <f t="shared" si="2"/>
        <v>6.3E-2</v>
      </c>
      <c r="L37" s="442"/>
      <c r="M37" s="445"/>
      <c r="N37" s="442"/>
      <c r="O37" s="442"/>
    </row>
    <row r="38" spans="1:15" s="444" customFormat="1" ht="16.399999999999999" customHeight="1">
      <c r="A38" s="442" t="s">
        <v>921</v>
      </c>
      <c r="B38" s="442"/>
      <c r="C38" s="1687">
        <v>0.81499999999999995</v>
      </c>
      <c r="D38" s="1684"/>
      <c r="E38" s="1687">
        <v>0</v>
      </c>
      <c r="F38" s="1684"/>
      <c r="G38" s="1687">
        <v>0.06</v>
      </c>
      <c r="H38" s="1684"/>
      <c r="I38" s="1687">
        <v>0</v>
      </c>
      <c r="J38" s="3029"/>
      <c r="K38" s="1688">
        <f t="shared" si="2"/>
        <v>0.755</v>
      </c>
      <c r="L38" s="442" t="s">
        <v>14</v>
      </c>
      <c r="M38" s="445"/>
      <c r="N38" s="442"/>
      <c r="O38" s="442"/>
    </row>
    <row r="39" spans="1:15" s="444" customFormat="1" ht="16.399999999999999" customHeight="1">
      <c r="A39" s="442" t="s">
        <v>364</v>
      </c>
      <c r="B39" s="442"/>
      <c r="C39" s="1687">
        <v>-40.485999999999997</v>
      </c>
      <c r="D39" s="1684"/>
      <c r="E39" s="1687">
        <v>0</v>
      </c>
      <c r="F39" s="1684"/>
      <c r="G39" s="1687">
        <v>1.7709999999999999</v>
      </c>
      <c r="H39" s="1684"/>
      <c r="I39" s="1687">
        <v>-1.9E-2</v>
      </c>
      <c r="J39" s="3029"/>
      <c r="K39" s="1688">
        <f t="shared" si="2"/>
        <v>-42.276000000000003</v>
      </c>
      <c r="L39" s="442" t="s">
        <v>14</v>
      </c>
      <c r="M39" s="445" t="s">
        <v>14</v>
      </c>
      <c r="N39" s="442"/>
      <c r="O39" s="442"/>
    </row>
    <row r="40" spans="1:15" s="444" customFormat="1" ht="16.399999999999999" customHeight="1">
      <c r="A40" s="442" t="s">
        <v>365</v>
      </c>
      <c r="B40" s="442"/>
      <c r="C40" s="1687">
        <v>-13.119</v>
      </c>
      <c r="D40" s="1684"/>
      <c r="E40" s="1687">
        <v>0</v>
      </c>
      <c r="F40" s="1684"/>
      <c r="G40" s="1687">
        <v>0.79700000000000004</v>
      </c>
      <c r="H40" s="1684"/>
      <c r="I40" s="1687">
        <v>-0.22500000000000001</v>
      </c>
      <c r="J40" s="3029"/>
      <c r="K40" s="1688">
        <f t="shared" si="2"/>
        <v>-14.141</v>
      </c>
      <c r="L40" s="442" t="s">
        <v>14</v>
      </c>
      <c r="M40" s="445" t="s">
        <v>14</v>
      </c>
      <c r="N40" s="442"/>
      <c r="O40" s="442"/>
    </row>
    <row r="41" spans="1:15" s="444" customFormat="1" ht="16.399999999999999" customHeight="1">
      <c r="A41" s="442" t="s">
        <v>366</v>
      </c>
      <c r="B41" s="442"/>
      <c r="C41" s="1687">
        <v>-32.578000000000003</v>
      </c>
      <c r="D41" s="1684"/>
      <c r="E41" s="1687">
        <v>2.93</v>
      </c>
      <c r="F41" s="1684"/>
      <c r="G41" s="1687">
        <v>3.5910000000000002</v>
      </c>
      <c r="H41" s="1684"/>
      <c r="I41" s="1687">
        <v>0</v>
      </c>
      <c r="J41" s="3029"/>
      <c r="K41" s="1688">
        <f t="shared" si="2"/>
        <v>-33.238999999999997</v>
      </c>
      <c r="L41" s="442"/>
      <c r="M41" s="445"/>
      <c r="N41" s="442"/>
      <c r="O41" s="442"/>
    </row>
    <row r="42" spans="1:15" s="444" customFormat="1" ht="20.149999999999999" customHeight="1">
      <c r="A42" s="448" t="s">
        <v>367</v>
      </c>
      <c r="B42" s="442"/>
      <c r="C42" s="1545">
        <f>ROUND(SUM(C34:C41),3)</f>
        <v>-363.52100000000002</v>
      </c>
      <c r="D42" s="696"/>
      <c r="E42" s="1545">
        <f>ROUND(SUM(E34:E41),3)</f>
        <v>55.167999999999999</v>
      </c>
      <c r="F42" s="696"/>
      <c r="G42" s="1545">
        <f>ROUND(SUM(G34:G41),3)</f>
        <v>43.408999999999999</v>
      </c>
      <c r="H42" s="694"/>
      <c r="I42" s="1545">
        <f>ROUND(SUM(I34:I41),3)</f>
        <v>2.3980000000000001</v>
      </c>
      <c r="J42" s="694"/>
      <c r="K42" s="1545">
        <f>ROUND(SUM(K34:K41),3)</f>
        <v>-349.36399999999998</v>
      </c>
      <c r="L42" s="3046"/>
      <c r="M42" s="442"/>
      <c r="N42" s="442"/>
      <c r="O42" s="442"/>
    </row>
    <row r="43" spans="1:15" s="444" customFormat="1" ht="15" customHeight="1">
      <c r="A43" s="448"/>
      <c r="B43" s="442"/>
      <c r="C43" s="3428"/>
      <c r="D43" s="2213"/>
      <c r="E43" s="2212"/>
      <c r="F43" s="2213"/>
      <c r="G43" s="2212"/>
      <c r="H43" s="2213"/>
      <c r="I43" s="3031"/>
      <c r="J43" s="2213"/>
      <c r="K43" s="2212"/>
      <c r="L43" s="442"/>
      <c r="M43" s="442"/>
      <c r="N43" s="442"/>
      <c r="O43" s="442"/>
    </row>
    <row r="44" spans="1:15" s="444" customFormat="1" ht="15" customHeight="1">
      <c r="A44" s="448"/>
      <c r="B44" s="442"/>
      <c r="C44" s="3031"/>
      <c r="D44" s="2213"/>
      <c r="E44" s="2213"/>
      <c r="F44" s="2213"/>
      <c r="G44" s="2213" t="s">
        <v>14</v>
      </c>
      <c r="H44" s="2213"/>
      <c r="I44" s="3047"/>
      <c r="J44" s="2213"/>
      <c r="K44" s="2213"/>
      <c r="L44" s="442"/>
      <c r="M44" s="442"/>
      <c r="N44" s="442"/>
      <c r="O44" s="442"/>
    </row>
    <row r="45" spans="1:15" s="444" customFormat="1" ht="20.149999999999999" customHeight="1" thickBot="1">
      <c r="A45" s="448" t="s">
        <v>63</v>
      </c>
      <c r="B45" s="443"/>
      <c r="C45" s="2214">
        <f>ROUND(SUM(C42)+SUM(C28),3)</f>
        <v>-35.521000000000001</v>
      </c>
      <c r="D45" s="704"/>
      <c r="E45" s="2214">
        <f>ROUND(SUM(E42)+SUM(E28),3)</f>
        <v>5226.8220000000001</v>
      </c>
      <c r="F45" s="704"/>
      <c r="G45" s="2214">
        <f>ROUND(SUM(G42)+SUM(G28),3)</f>
        <v>5215.1689999999999</v>
      </c>
      <c r="H45" s="704"/>
      <c r="I45" s="2214">
        <f>ROUND(SUM(I42)+SUM(I28),3)</f>
        <v>5.3979999999999997</v>
      </c>
      <c r="J45" s="704"/>
      <c r="K45" s="2214">
        <f>ROUND(SUM(K42)+SUM(K28),3)</f>
        <v>-18.47</v>
      </c>
      <c r="L45" s="3030"/>
      <c r="M45" s="442"/>
      <c r="N45" s="442"/>
      <c r="O45" s="442"/>
    </row>
    <row r="46" spans="1:15" s="444" customFormat="1" ht="18" thickTop="1">
      <c r="A46" s="442"/>
      <c r="B46" s="442"/>
      <c r="C46" s="2215"/>
      <c r="D46" s="2213"/>
      <c r="E46" s="2215" t="s">
        <v>14</v>
      </c>
      <c r="F46" s="2213"/>
      <c r="G46" s="2215"/>
      <c r="H46" s="2213"/>
      <c r="I46" s="689"/>
      <c r="J46" s="2213"/>
      <c r="K46" s="2215"/>
      <c r="L46" s="442"/>
      <c r="M46" s="442"/>
      <c r="N46" s="442"/>
      <c r="O46" s="442"/>
    </row>
    <row r="47" spans="1:15" s="444" customFormat="1">
      <c r="A47" s="3048"/>
      <c r="B47" s="2209"/>
      <c r="C47" s="2218"/>
      <c r="D47" s="2218"/>
      <c r="E47" s="2216" t="s">
        <v>14</v>
      </c>
      <c r="F47" s="2216"/>
      <c r="G47" s="3049"/>
      <c r="H47" s="2216"/>
      <c r="I47" s="3050"/>
      <c r="J47" s="2218"/>
      <c r="K47" s="3051"/>
      <c r="L47" s="2209"/>
      <c r="M47" s="2209"/>
      <c r="N47" s="2209"/>
      <c r="O47" s="2209"/>
    </row>
    <row r="48" spans="1:15" s="444" customFormat="1">
      <c r="A48" s="2209"/>
      <c r="B48" s="2209"/>
      <c r="C48" s="2218"/>
      <c r="D48" s="2218"/>
      <c r="E48" s="2217" t="s">
        <v>14</v>
      </c>
      <c r="F48" s="2217"/>
      <c r="G48" s="2217"/>
      <c r="H48" s="2217"/>
      <c r="I48" s="2217" t="s">
        <v>14</v>
      </c>
      <c r="J48" s="2217"/>
      <c r="K48" s="2217"/>
      <c r="L48" s="2209"/>
      <c r="M48" s="2209"/>
      <c r="N48" s="2209"/>
      <c r="O48" s="2209"/>
    </row>
    <row r="49" spans="1:15" s="444" customFormat="1">
      <c r="A49" s="2209"/>
      <c r="B49" s="2209"/>
      <c r="C49" s="2218"/>
      <c r="D49" s="2218"/>
      <c r="E49" s="2218" t="s">
        <v>14</v>
      </c>
      <c r="F49" s="2218"/>
      <c r="G49" s="3052"/>
      <c r="H49" s="2209"/>
      <c r="I49" s="3053" t="s">
        <v>14</v>
      </c>
      <c r="J49" s="2218"/>
      <c r="K49" s="2218"/>
      <c r="L49" s="2209"/>
      <c r="M49" s="2209"/>
      <c r="N49" s="2209"/>
      <c r="O49" s="2209"/>
    </row>
    <row r="50" spans="1:15" s="444" customFormat="1">
      <c r="A50" s="2209"/>
      <c r="B50" s="2209"/>
      <c r="C50" s="2218"/>
      <c r="D50" s="2218"/>
      <c r="E50" s="2217" t="s">
        <v>14</v>
      </c>
      <c r="F50" s="2218"/>
      <c r="G50" s="2218"/>
      <c r="H50" s="2209"/>
      <c r="I50" s="3053" t="s">
        <v>14</v>
      </c>
      <c r="J50" s="2218"/>
      <c r="K50" s="2218"/>
      <c r="L50" s="2209"/>
      <c r="M50" s="2209"/>
      <c r="N50" s="2209"/>
      <c r="O50" s="2209"/>
    </row>
    <row r="51" spans="1:15" s="444" customFormat="1">
      <c r="A51" s="2209"/>
      <c r="B51" s="2209"/>
      <c r="C51" s="2218"/>
      <c r="D51" s="2218"/>
      <c r="E51" s="2217" t="s">
        <v>14</v>
      </c>
      <c r="F51" s="2218"/>
      <c r="G51" s="2218"/>
      <c r="H51" s="2209"/>
      <c r="I51" s="3053" t="s">
        <v>14</v>
      </c>
      <c r="J51" s="2218"/>
      <c r="K51" s="2218"/>
      <c r="L51" s="2209"/>
      <c r="M51" s="2209"/>
      <c r="N51" s="2209"/>
      <c r="O51" s="2209"/>
    </row>
    <row r="52" spans="1:15" s="444" customFormat="1">
      <c r="A52" s="2209"/>
      <c r="B52" s="2209"/>
      <c r="C52" s="2218"/>
      <c r="D52" s="2218"/>
      <c r="E52" s="2218"/>
      <c r="F52" s="2218"/>
      <c r="G52" s="2218"/>
      <c r="H52" s="2209"/>
      <c r="I52" s="3053" t="s">
        <v>14</v>
      </c>
      <c r="J52" s="2218"/>
      <c r="K52" s="2218"/>
      <c r="L52" s="2209"/>
      <c r="M52" s="2209"/>
      <c r="N52" s="2209"/>
      <c r="O52" s="2209"/>
    </row>
    <row r="53" spans="1:15" s="444" customFormat="1">
      <c r="A53" s="442"/>
      <c r="B53" s="2209"/>
      <c r="C53" s="2218"/>
      <c r="D53" s="2218"/>
      <c r="E53" s="2218"/>
      <c r="F53" s="2218"/>
      <c r="G53" s="2218"/>
      <c r="H53" s="2209"/>
      <c r="I53" s="3053" t="s">
        <v>14</v>
      </c>
      <c r="J53" s="2218"/>
      <c r="K53" s="2218"/>
      <c r="L53" s="2209"/>
      <c r="M53" s="2209"/>
      <c r="N53" s="2209"/>
      <c r="O53" s="2209"/>
    </row>
    <row r="54" spans="1:15" s="444" customFormat="1">
      <c r="A54" s="2209"/>
      <c r="B54" s="2209"/>
      <c r="C54" s="2218"/>
      <c r="D54" s="2218"/>
      <c r="E54" s="2218"/>
      <c r="F54" s="2218"/>
      <c r="G54" s="2218"/>
      <c r="H54" s="2209"/>
      <c r="I54" s="2209"/>
      <c r="J54" s="2218"/>
      <c r="K54" s="2218"/>
      <c r="L54" s="2209"/>
      <c r="M54" s="2209"/>
      <c r="N54" s="2209"/>
      <c r="O54" s="2209"/>
    </row>
    <row r="55" spans="1:15" s="444" customFormat="1">
      <c r="A55" s="2209"/>
      <c r="B55" s="2209"/>
      <c r="C55" s="2218"/>
      <c r="D55" s="2218"/>
      <c r="E55" s="2218"/>
      <c r="F55" s="2218"/>
      <c r="G55" s="2218"/>
      <c r="H55" s="2209"/>
      <c r="I55" s="2209"/>
      <c r="J55" s="2218"/>
      <c r="K55" s="2218"/>
      <c r="L55" s="2209"/>
      <c r="M55" s="2209"/>
      <c r="N55" s="2209"/>
      <c r="O55" s="2209"/>
    </row>
    <row r="56" spans="1:15" s="444" customFormat="1">
      <c r="A56" s="2209"/>
      <c r="B56" s="2209"/>
      <c r="C56" s="2218"/>
      <c r="D56" s="2218"/>
      <c r="E56" s="2218"/>
      <c r="F56" s="2218"/>
      <c r="G56" s="2218"/>
      <c r="H56" s="2209"/>
      <c r="I56" s="2209"/>
      <c r="J56" s="2218"/>
      <c r="K56" s="2218"/>
      <c r="L56" s="2209"/>
      <c r="M56" s="2209"/>
      <c r="N56" s="2209"/>
      <c r="O56" s="2209"/>
    </row>
    <row r="57" spans="1:15" s="444" customFormat="1">
      <c r="A57" s="2209"/>
      <c r="B57" s="2209"/>
      <c r="C57" s="2218"/>
      <c r="D57" s="2218"/>
      <c r="E57" s="2218"/>
      <c r="F57" s="2218"/>
      <c r="G57" s="2218"/>
      <c r="H57" s="2209"/>
      <c r="I57" s="2209"/>
      <c r="J57" s="2218"/>
      <c r="K57" s="2218"/>
      <c r="L57" s="2209"/>
      <c r="M57" s="2209"/>
      <c r="N57" s="2209"/>
      <c r="O57" s="2209"/>
    </row>
    <row r="58" spans="1:15" s="444" customFormat="1">
      <c r="A58" s="2209"/>
      <c r="B58" s="2209"/>
      <c r="C58" s="2218"/>
      <c r="D58" s="2218"/>
      <c r="E58" s="2218"/>
      <c r="F58" s="2218"/>
      <c r="G58" s="2218"/>
      <c r="H58" s="2209"/>
      <c r="I58" s="2209"/>
      <c r="J58" s="2218"/>
      <c r="K58" s="2218"/>
      <c r="L58" s="2209"/>
      <c r="M58" s="2209"/>
      <c r="N58" s="2209"/>
      <c r="O58" s="2209"/>
    </row>
    <row r="59" spans="1:15" s="444" customFormat="1">
      <c r="A59" s="2209"/>
      <c r="B59" s="2209"/>
      <c r="C59" s="2218"/>
      <c r="D59" s="2218"/>
      <c r="E59" s="2218"/>
      <c r="F59" s="2218"/>
      <c r="G59" s="2218"/>
      <c r="H59" s="2209"/>
      <c r="I59" s="2209"/>
      <c r="J59" s="2218"/>
      <c r="K59" s="2218"/>
      <c r="L59" s="2209"/>
      <c r="M59" s="2209"/>
      <c r="N59" s="2209"/>
      <c r="O59" s="2209"/>
    </row>
    <row r="60" spans="1:15" s="444" customFormat="1">
      <c r="A60" s="2209"/>
      <c r="B60" s="2209"/>
      <c r="C60" s="2218"/>
      <c r="D60" s="2218"/>
      <c r="E60" s="2218"/>
      <c r="F60" s="2218"/>
      <c r="G60" s="2218"/>
      <c r="H60" s="2209"/>
      <c r="I60" s="2209"/>
      <c r="J60" s="2218"/>
      <c r="K60" s="2218"/>
      <c r="L60" s="2209"/>
      <c r="M60" s="2209"/>
      <c r="N60" s="2209"/>
      <c r="O60" s="2209"/>
    </row>
    <row r="61" spans="1:15" s="444" customFormat="1">
      <c r="A61" s="2209"/>
      <c r="B61" s="2209"/>
      <c r="C61" s="2218"/>
      <c r="D61" s="2218"/>
      <c r="E61" s="2218"/>
      <c r="F61" s="2218"/>
      <c r="G61" s="2218"/>
      <c r="H61" s="2209"/>
      <c r="I61" s="2209"/>
      <c r="J61" s="2218"/>
      <c r="K61" s="2218"/>
      <c r="L61" s="2209"/>
      <c r="M61" s="2209"/>
      <c r="N61" s="2209"/>
      <c r="O61" s="2209"/>
    </row>
    <row r="62" spans="1:15" s="444" customFormat="1">
      <c r="A62" s="2209"/>
      <c r="B62" s="2209"/>
      <c r="C62" s="2218"/>
      <c r="D62" s="2218"/>
      <c r="E62" s="2218"/>
      <c r="F62" s="2218"/>
      <c r="G62" s="2218"/>
      <c r="H62" s="2209"/>
      <c r="I62" s="2209"/>
      <c r="J62" s="2218"/>
      <c r="K62" s="2218"/>
      <c r="L62" s="2209"/>
      <c r="M62" s="2209"/>
      <c r="N62" s="2209"/>
      <c r="O62" s="2209"/>
    </row>
    <row r="63" spans="1:15" s="444" customFormat="1">
      <c r="A63" s="2209"/>
      <c r="B63" s="2209"/>
      <c r="C63" s="2218"/>
      <c r="D63" s="2218"/>
      <c r="E63" s="2218"/>
      <c r="F63" s="2218"/>
      <c r="G63" s="2218"/>
      <c r="H63" s="2209"/>
      <c r="I63" s="2209"/>
      <c r="J63" s="2218"/>
      <c r="K63" s="2218"/>
      <c r="L63" s="2209"/>
      <c r="M63" s="2209"/>
      <c r="N63" s="2209"/>
      <c r="O63" s="2209"/>
    </row>
    <row r="64" spans="1:15" s="444" customFormat="1">
      <c r="A64" s="2209"/>
      <c r="B64" s="2209"/>
      <c r="C64" s="2218"/>
      <c r="D64" s="2218"/>
      <c r="E64" s="2218"/>
      <c r="F64" s="2218"/>
      <c r="G64" s="2218"/>
      <c r="H64" s="2209"/>
      <c r="I64" s="2209"/>
      <c r="J64" s="2218"/>
      <c r="K64" s="2218"/>
      <c r="L64" s="2209"/>
      <c r="M64" s="2209"/>
      <c r="N64" s="2209"/>
      <c r="O64" s="2209"/>
    </row>
    <row r="65" spans="1:15" s="444" customFormat="1">
      <c r="A65" s="2209"/>
      <c r="B65" s="2209"/>
      <c r="C65" s="2218"/>
      <c r="D65" s="2218"/>
      <c r="E65" s="2218"/>
      <c r="F65" s="2218"/>
      <c r="G65" s="2218"/>
      <c r="H65" s="2209"/>
      <c r="I65" s="2209"/>
      <c r="J65" s="2218"/>
      <c r="K65" s="2218"/>
      <c r="L65" s="2209"/>
      <c r="M65" s="2209"/>
      <c r="N65" s="2209"/>
      <c r="O65" s="2209"/>
    </row>
    <row r="66" spans="1:15" s="444" customFormat="1">
      <c r="A66" s="2209"/>
      <c r="B66" s="2209"/>
      <c r="C66" s="2218"/>
      <c r="D66" s="2218"/>
      <c r="E66" s="2218"/>
      <c r="F66" s="2218"/>
      <c r="G66" s="2218"/>
      <c r="H66" s="2209"/>
      <c r="I66" s="2209"/>
      <c r="J66" s="2218"/>
      <c r="K66" s="2218"/>
      <c r="L66" s="2209"/>
      <c r="M66" s="2209"/>
      <c r="N66" s="2209"/>
      <c r="O66" s="2209"/>
    </row>
    <row r="67" spans="1:15" s="444" customFormat="1">
      <c r="A67" s="2209"/>
      <c r="B67" s="2209"/>
      <c r="C67" s="2218"/>
      <c r="D67" s="2218"/>
      <c r="E67" s="2218"/>
      <c r="F67" s="2218"/>
      <c r="G67" s="2218"/>
      <c r="H67" s="2209"/>
      <c r="I67" s="2209"/>
      <c r="J67" s="2218"/>
      <c r="K67" s="2218"/>
      <c r="L67" s="2209"/>
      <c r="M67" s="2209"/>
      <c r="N67" s="2209"/>
      <c r="O67" s="2209"/>
    </row>
    <row r="68" spans="1:15" s="444" customFormat="1">
      <c r="A68" s="2209"/>
      <c r="B68" s="2209"/>
      <c r="C68" s="2218"/>
      <c r="D68" s="2218"/>
      <c r="E68" s="2218"/>
      <c r="F68" s="2218"/>
      <c r="G68" s="2218"/>
      <c r="H68" s="2209"/>
      <c r="I68" s="2209"/>
      <c r="J68" s="2218"/>
      <c r="K68" s="2218"/>
      <c r="L68" s="2209"/>
      <c r="M68" s="2209"/>
      <c r="N68" s="2209"/>
      <c r="O68" s="2209"/>
    </row>
    <row r="69" spans="1:15" s="444" customFormat="1">
      <c r="A69" s="2209"/>
      <c r="B69" s="2209"/>
      <c r="C69" s="2218"/>
      <c r="D69" s="2218"/>
      <c r="E69" s="2218"/>
      <c r="F69" s="2218"/>
      <c r="G69" s="2218"/>
      <c r="H69" s="2209"/>
      <c r="I69" s="2209"/>
      <c r="J69" s="2218"/>
      <c r="K69" s="2218"/>
      <c r="L69" s="2209"/>
      <c r="M69" s="2209"/>
      <c r="N69" s="2209"/>
      <c r="O69" s="2209"/>
    </row>
    <row r="70" spans="1:15" s="444" customFormat="1">
      <c r="A70" s="2209"/>
      <c r="B70" s="2209"/>
      <c r="C70" s="2218"/>
      <c r="D70" s="2218"/>
      <c r="E70" s="2218"/>
      <c r="F70" s="2218"/>
      <c r="G70" s="2218"/>
      <c r="H70" s="2209"/>
      <c r="I70" s="2209"/>
      <c r="J70" s="2218"/>
      <c r="K70" s="2218"/>
      <c r="L70" s="2209"/>
      <c r="M70" s="2209"/>
      <c r="N70" s="2209"/>
      <c r="O70" s="2209"/>
    </row>
    <row r="71" spans="1:15" s="444" customFormat="1">
      <c r="A71" s="2209"/>
      <c r="B71" s="2209"/>
      <c r="C71" s="2218"/>
      <c r="D71" s="2218"/>
      <c r="E71" s="2218"/>
      <c r="F71" s="2218"/>
      <c r="G71" s="2218"/>
      <c r="H71" s="2209"/>
      <c r="I71" s="2209"/>
      <c r="J71" s="2218"/>
      <c r="K71" s="2218"/>
      <c r="L71" s="2209"/>
      <c r="M71" s="2209"/>
      <c r="N71" s="2209"/>
      <c r="O71" s="2209"/>
    </row>
    <row r="72" spans="1:15" s="444" customFormat="1">
      <c r="A72" s="2209"/>
      <c r="B72" s="2209"/>
      <c r="C72" s="2218"/>
      <c r="D72" s="2218"/>
      <c r="E72" s="2218"/>
      <c r="F72" s="2218"/>
      <c r="G72" s="2218"/>
      <c r="H72" s="2209"/>
      <c r="I72" s="2209"/>
      <c r="J72" s="2218"/>
      <c r="K72" s="2218"/>
      <c r="L72" s="2209"/>
      <c r="M72" s="2209"/>
      <c r="N72" s="2209"/>
      <c r="O72" s="2209"/>
    </row>
    <row r="73" spans="1:15" s="444" customFormat="1">
      <c r="A73" s="2209"/>
      <c r="B73" s="2209"/>
      <c r="C73" s="2218"/>
      <c r="D73" s="2218"/>
      <c r="E73" s="2218"/>
      <c r="F73" s="2218"/>
      <c r="G73" s="2218"/>
      <c r="H73" s="2209"/>
      <c r="I73" s="2209"/>
      <c r="J73" s="2218"/>
      <c r="K73" s="2218"/>
      <c r="L73" s="2209"/>
      <c r="M73" s="2209"/>
      <c r="N73" s="2209"/>
      <c r="O73" s="2209"/>
    </row>
    <row r="74" spans="1:15" s="444" customFormat="1">
      <c r="A74" s="2209"/>
      <c r="B74" s="2209"/>
      <c r="C74" s="2218"/>
      <c r="D74" s="2218"/>
      <c r="E74" s="2218"/>
      <c r="F74" s="2218"/>
      <c r="G74" s="2218"/>
      <c r="H74" s="2209"/>
      <c r="I74" s="2209"/>
      <c r="J74" s="2218"/>
      <c r="K74" s="2218"/>
      <c r="L74" s="2209"/>
      <c r="M74" s="2209"/>
      <c r="N74" s="2209"/>
      <c r="O74" s="2209"/>
    </row>
    <row r="75" spans="1:15" s="444" customFormat="1">
      <c r="A75" s="2209"/>
      <c r="B75" s="2209"/>
      <c r="C75" s="2218"/>
      <c r="D75" s="2218"/>
      <c r="E75" s="2218"/>
      <c r="F75" s="2218"/>
      <c r="G75" s="2218"/>
      <c r="H75" s="2209"/>
      <c r="I75" s="2209"/>
      <c r="J75" s="2218"/>
      <c r="K75" s="2218"/>
      <c r="L75" s="2209"/>
      <c r="M75" s="2209"/>
      <c r="N75" s="2209"/>
      <c r="O75" s="2209"/>
    </row>
    <row r="76" spans="1:15" s="444" customFormat="1">
      <c r="A76" s="2209"/>
      <c r="B76" s="2209"/>
      <c r="C76" s="2218"/>
      <c r="D76" s="2218"/>
      <c r="E76" s="2218"/>
      <c r="F76" s="2218"/>
      <c r="G76" s="2218"/>
      <c r="H76" s="2209"/>
      <c r="I76" s="2209"/>
      <c r="J76" s="2218"/>
      <c r="K76" s="2218"/>
      <c r="L76" s="2209"/>
      <c r="M76" s="2209"/>
      <c r="N76" s="2209"/>
      <c r="O76" s="2209"/>
    </row>
    <row r="77" spans="1:15" s="444" customFormat="1">
      <c r="A77" s="2209"/>
      <c r="B77" s="2209"/>
      <c r="C77" s="2218"/>
      <c r="D77" s="2218"/>
      <c r="E77" s="2218"/>
      <c r="F77" s="2218"/>
      <c r="G77" s="2218"/>
      <c r="H77" s="2209"/>
      <c r="I77" s="2209"/>
      <c r="J77" s="2218"/>
      <c r="K77" s="2218"/>
      <c r="L77" s="2209"/>
      <c r="M77" s="2209"/>
      <c r="N77" s="2209"/>
      <c r="O77" s="2209"/>
    </row>
    <row r="78" spans="1:15" s="444" customFormat="1">
      <c r="A78" s="2209"/>
      <c r="B78" s="2209"/>
      <c r="C78" s="2218"/>
      <c r="D78" s="2218"/>
      <c r="E78" s="2218"/>
      <c r="F78" s="2218"/>
      <c r="G78" s="2218"/>
      <c r="H78" s="2209"/>
      <c r="I78" s="2209"/>
      <c r="J78" s="2218"/>
      <c r="K78" s="2218"/>
      <c r="L78" s="2209"/>
      <c r="M78" s="2209"/>
      <c r="N78" s="2209"/>
      <c r="O78" s="2209"/>
    </row>
    <row r="79" spans="1:15" s="444" customFormat="1">
      <c r="A79" s="2209"/>
      <c r="B79" s="2209"/>
      <c r="C79" s="2218"/>
      <c r="D79" s="2218"/>
      <c r="E79" s="2218"/>
      <c r="F79" s="2218"/>
      <c r="G79" s="2218"/>
      <c r="H79" s="2209"/>
      <c r="I79" s="2209"/>
      <c r="J79" s="2218"/>
      <c r="K79" s="2218"/>
      <c r="L79" s="2209"/>
      <c r="M79" s="2209"/>
      <c r="N79" s="2209"/>
      <c r="O79" s="2209"/>
    </row>
    <row r="80" spans="1:15" s="444" customFormat="1">
      <c r="A80" s="2209"/>
      <c r="B80" s="2209"/>
      <c r="C80" s="2218"/>
      <c r="D80" s="2218"/>
      <c r="E80" s="2218"/>
      <c r="F80" s="2218"/>
      <c r="G80" s="2218"/>
      <c r="H80" s="2209"/>
      <c r="I80" s="2209"/>
      <c r="J80" s="2218"/>
      <c r="K80" s="2218"/>
      <c r="L80" s="2209"/>
      <c r="M80" s="2209"/>
      <c r="N80" s="2209"/>
      <c r="O80" s="2209"/>
    </row>
    <row r="81" spans="1:15" s="444" customFormat="1">
      <c r="A81" s="2209"/>
      <c r="B81" s="2209"/>
      <c r="C81" s="2218"/>
      <c r="D81" s="2218"/>
      <c r="E81" s="2218"/>
      <c r="F81" s="2218"/>
      <c r="G81" s="2218"/>
      <c r="H81" s="2209"/>
      <c r="I81" s="2209"/>
      <c r="J81" s="2218"/>
      <c r="K81" s="2218"/>
      <c r="L81" s="2209"/>
      <c r="M81" s="2209"/>
      <c r="N81" s="2209"/>
      <c r="O81" s="2209"/>
    </row>
    <row r="82" spans="1:15" s="444" customFormat="1">
      <c r="A82" s="2209"/>
      <c r="B82" s="2209"/>
      <c r="C82" s="2218"/>
      <c r="D82" s="2218"/>
      <c r="E82" s="2218"/>
      <c r="F82" s="2218"/>
      <c r="G82" s="2218"/>
      <c r="H82" s="2209"/>
      <c r="I82" s="2209"/>
      <c r="J82" s="2218"/>
      <c r="K82" s="2218"/>
      <c r="L82" s="2209"/>
      <c r="M82" s="2209"/>
      <c r="N82" s="2209"/>
      <c r="O82" s="2209"/>
    </row>
    <row r="83" spans="1:15" s="444" customFormat="1">
      <c r="A83" s="2209"/>
      <c r="B83" s="2209"/>
      <c r="C83" s="2218"/>
      <c r="D83" s="2218"/>
      <c r="E83" s="2218"/>
      <c r="F83" s="2218"/>
      <c r="G83" s="2218"/>
      <c r="H83" s="2209"/>
      <c r="I83" s="2209"/>
      <c r="J83" s="2218"/>
      <c r="K83" s="2218"/>
      <c r="L83" s="2209"/>
      <c r="M83" s="2209"/>
      <c r="N83" s="2209"/>
      <c r="O83" s="2209"/>
    </row>
    <row r="84" spans="1:15" s="444" customFormat="1">
      <c r="A84" s="2209"/>
      <c r="B84" s="2209"/>
      <c r="C84" s="2218"/>
      <c r="D84" s="2218"/>
      <c r="E84" s="2218"/>
      <c r="F84" s="2218"/>
      <c r="G84" s="2218"/>
      <c r="H84" s="2209"/>
      <c r="I84" s="2209"/>
      <c r="J84" s="2218"/>
      <c r="K84" s="2218"/>
      <c r="L84" s="2209"/>
      <c r="M84" s="2209"/>
      <c r="N84" s="2209"/>
      <c r="O84" s="2209"/>
    </row>
    <row r="85" spans="1:15" s="444" customFormat="1">
      <c r="A85" s="2209"/>
      <c r="B85" s="2209"/>
      <c r="C85" s="2218"/>
      <c r="D85" s="2218"/>
      <c r="E85" s="2218"/>
      <c r="F85" s="2218"/>
      <c r="G85" s="2218"/>
      <c r="H85" s="2209"/>
      <c r="I85" s="2209"/>
      <c r="J85" s="2218"/>
      <c r="K85" s="2218"/>
      <c r="L85" s="2209"/>
      <c r="M85" s="2209"/>
      <c r="N85" s="2209"/>
      <c r="O85" s="2209"/>
    </row>
    <row r="86" spans="1:15" s="444" customFormat="1">
      <c r="A86" s="2209"/>
      <c r="B86" s="2209"/>
      <c r="C86" s="2218"/>
      <c r="D86" s="2218"/>
      <c r="E86" s="2218"/>
      <c r="F86" s="2218"/>
      <c r="G86" s="2218"/>
      <c r="H86" s="2209"/>
      <c r="I86" s="2209"/>
      <c r="J86" s="2218"/>
      <c r="K86" s="2218"/>
      <c r="L86" s="2209"/>
      <c r="M86" s="2209"/>
      <c r="N86" s="2209"/>
      <c r="O86" s="2209"/>
    </row>
    <row r="87" spans="1:15" s="444" customFormat="1">
      <c r="A87" s="2209"/>
      <c r="B87" s="2209"/>
      <c r="C87" s="2218"/>
      <c r="D87" s="2218"/>
      <c r="E87" s="2218"/>
      <c r="F87" s="2218"/>
      <c r="G87" s="2218"/>
      <c r="H87" s="2209"/>
      <c r="I87" s="2209"/>
      <c r="J87" s="2218"/>
      <c r="K87" s="2218"/>
      <c r="L87" s="2209"/>
      <c r="M87" s="2209"/>
      <c r="N87" s="2209"/>
      <c r="O87" s="2209"/>
    </row>
    <row r="88" spans="1:15" s="444" customFormat="1">
      <c r="A88" s="2209"/>
      <c r="B88" s="2209"/>
      <c r="C88" s="2218"/>
      <c r="D88" s="2218"/>
      <c r="E88" s="2218"/>
      <c r="F88" s="2218"/>
      <c r="G88" s="2218"/>
      <c r="H88" s="2209"/>
      <c r="I88" s="2209"/>
      <c r="J88" s="2218"/>
      <c r="K88" s="2218"/>
      <c r="L88" s="2209"/>
      <c r="M88" s="2209"/>
      <c r="N88" s="2209"/>
      <c r="O88" s="2209"/>
    </row>
    <row r="89" spans="1:15" s="444" customFormat="1">
      <c r="A89" s="2209"/>
      <c r="B89" s="2209"/>
      <c r="C89" s="2218"/>
      <c r="D89" s="2218"/>
      <c r="E89" s="2218"/>
      <c r="F89" s="2218"/>
      <c r="G89" s="2218"/>
      <c r="H89" s="2209"/>
      <c r="I89" s="2209"/>
      <c r="J89" s="2218"/>
      <c r="K89" s="2218"/>
      <c r="L89" s="2209"/>
      <c r="M89" s="2209"/>
      <c r="N89" s="2209"/>
      <c r="O89" s="2209"/>
    </row>
    <row r="90" spans="1:15" s="444" customFormat="1">
      <c r="A90" s="2209"/>
      <c r="B90" s="2209"/>
      <c r="C90" s="2218"/>
      <c r="D90" s="2218"/>
      <c r="E90" s="2218"/>
      <c r="F90" s="2218"/>
      <c r="G90" s="2218"/>
      <c r="H90" s="2209"/>
      <c r="I90" s="2209"/>
      <c r="J90" s="2218"/>
      <c r="K90" s="2218"/>
      <c r="L90" s="2209"/>
      <c r="M90" s="2209"/>
      <c r="N90" s="2209"/>
      <c r="O90" s="2209"/>
    </row>
    <row r="91" spans="1:15" s="444" customFormat="1">
      <c r="A91" s="2209"/>
      <c r="B91" s="2209"/>
      <c r="C91" s="2218"/>
      <c r="D91" s="2218"/>
      <c r="E91" s="2218"/>
      <c r="F91" s="2218"/>
      <c r="G91" s="2218"/>
      <c r="H91" s="2209"/>
      <c r="I91" s="2209"/>
      <c r="J91" s="2218"/>
      <c r="K91" s="2218"/>
      <c r="L91" s="2209"/>
      <c r="M91" s="2209"/>
      <c r="N91" s="2209"/>
      <c r="O91" s="2209"/>
    </row>
    <row r="92" spans="1:15" s="444" customFormat="1">
      <c r="A92" s="2209"/>
      <c r="B92" s="2209"/>
      <c r="C92" s="2218"/>
      <c r="D92" s="2218"/>
      <c r="E92" s="2218"/>
      <c r="F92" s="2218"/>
      <c r="G92" s="2218"/>
      <c r="H92" s="2209"/>
      <c r="I92" s="2209"/>
      <c r="J92" s="2218"/>
      <c r="K92" s="2218"/>
      <c r="L92" s="2209"/>
      <c r="M92" s="2209"/>
      <c r="N92" s="2209"/>
      <c r="O92" s="2209"/>
    </row>
    <row r="93" spans="1:15" s="444" customFormat="1">
      <c r="A93" s="2209"/>
      <c r="B93" s="2209"/>
      <c r="C93" s="2218"/>
      <c r="D93" s="2218"/>
      <c r="E93" s="2218"/>
      <c r="F93" s="2218"/>
      <c r="G93" s="2218"/>
      <c r="H93" s="2209"/>
      <c r="I93" s="2209"/>
      <c r="J93" s="2218"/>
      <c r="K93" s="2218"/>
      <c r="L93" s="2209"/>
      <c r="M93" s="2209"/>
      <c r="N93" s="2209"/>
      <c r="O93" s="2209"/>
    </row>
    <row r="94" spans="1:15" s="444" customFormat="1">
      <c r="A94" s="2209"/>
      <c r="B94" s="2209"/>
      <c r="C94" s="2218"/>
      <c r="D94" s="2218"/>
      <c r="E94" s="2218"/>
      <c r="F94" s="2218"/>
      <c r="G94" s="2218"/>
      <c r="H94" s="2209"/>
      <c r="I94" s="2209"/>
      <c r="J94" s="2218"/>
      <c r="K94" s="2218"/>
      <c r="L94" s="2209"/>
      <c r="M94" s="2209"/>
      <c r="N94" s="2209"/>
      <c r="O94" s="2209"/>
    </row>
    <row r="95" spans="1:15" s="444" customFormat="1">
      <c r="A95" s="2209"/>
      <c r="B95" s="2209"/>
      <c r="C95" s="2218"/>
      <c r="D95" s="2218"/>
      <c r="E95" s="2218"/>
      <c r="F95" s="2218"/>
      <c r="G95" s="2218"/>
      <c r="H95" s="2209"/>
      <c r="I95" s="2209"/>
      <c r="J95" s="2218"/>
      <c r="K95" s="2218"/>
      <c r="L95" s="2209"/>
      <c r="M95" s="2209"/>
      <c r="N95" s="2209"/>
      <c r="O95" s="2209"/>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60" workbookViewId="0"/>
  </sheetViews>
  <sheetFormatPr defaultColWidth="8.765625" defaultRowHeight="12.5"/>
  <cols>
    <col min="1" max="1" width="56.07421875" style="447" customWidth="1"/>
    <col min="2" max="2" width="5.765625" style="447" customWidth="1"/>
    <col min="3" max="3" width="9.765625" style="447" customWidth="1"/>
    <col min="4" max="4" width="21.07421875" style="447" customWidth="1"/>
    <col min="5" max="5" width="1.765625" style="447" customWidth="1"/>
    <col min="6" max="6" width="16.765625" style="447" customWidth="1"/>
    <col min="7" max="7" width="2.07421875" style="447" customWidth="1"/>
    <col min="8" max="8" width="19.07421875" style="447" customWidth="1"/>
    <col min="9" max="9" width="1.765625" style="447" customWidth="1"/>
    <col min="10" max="10" width="20.765625" style="447" customWidth="1"/>
    <col min="11" max="11" width="2.07421875" style="447" customWidth="1"/>
    <col min="12" max="12" width="22.4609375" style="447" customWidth="1"/>
    <col min="13" max="13" width="2.4609375" style="447" customWidth="1"/>
    <col min="14" max="14" width="10.765625" style="447" bestFit="1" customWidth="1"/>
    <col min="15" max="15" width="12.53515625" style="447" bestFit="1" customWidth="1"/>
    <col min="16" max="16384" width="8.765625" style="447"/>
  </cols>
  <sheetData>
    <row r="1" spans="1:256" ht="15.5">
      <c r="A1" s="640" t="s">
        <v>885</v>
      </c>
    </row>
    <row r="2" spans="1:256" ht="18" customHeight="1"/>
    <row r="3" spans="1:256" ht="18">
      <c r="A3" s="448" t="s">
        <v>0</v>
      </c>
      <c r="B3" s="449"/>
      <c r="C3" s="449"/>
      <c r="D3" s="450"/>
      <c r="E3" s="450"/>
      <c r="F3" s="449"/>
      <c r="G3" s="449" t="s">
        <v>14</v>
      </c>
      <c r="H3" s="449"/>
      <c r="I3" s="449"/>
      <c r="J3" s="449"/>
      <c r="K3" s="449"/>
      <c r="L3" s="451" t="s">
        <v>368</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369</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1194</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tr">
        <f>'Sch 2 '!A7</f>
        <v>FISCAL YEAR 2021-2022</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APRIL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797" t="s">
        <v>1280</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86"/>
      <c r="E9" s="448"/>
      <c r="F9" s="448"/>
      <c r="G9" s="448"/>
      <c r="H9" s="448"/>
      <c r="I9" s="448"/>
      <c r="J9" s="686" t="s">
        <v>353</v>
      </c>
      <c r="K9" s="448"/>
      <c r="L9" s="686"/>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86" t="s">
        <v>232</v>
      </c>
      <c r="E10" s="448"/>
      <c r="F10" s="448"/>
      <c r="G10" s="448"/>
      <c r="H10" s="448"/>
      <c r="I10" s="448"/>
      <c r="J10" s="686" t="s">
        <v>354</v>
      </c>
      <c r="K10" s="448"/>
      <c r="L10" s="686" t="s">
        <v>232</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355</v>
      </c>
      <c r="B11" s="448"/>
      <c r="C11" s="448"/>
      <c r="D11" s="900" t="str">
        <f>'Sch 1 '!C11</f>
        <v>APRIL 1, 2021</v>
      </c>
      <c r="E11" s="448"/>
      <c r="F11" s="686" t="s">
        <v>234</v>
      </c>
      <c r="G11" s="448"/>
      <c r="H11" s="686" t="s">
        <v>235</v>
      </c>
      <c r="I11" s="448"/>
      <c r="J11" s="686" t="s">
        <v>236</v>
      </c>
      <c r="K11" s="448"/>
      <c r="L11" s="900" t="str">
        <f>'Sch 1 '!K11</f>
        <v>APRIL 30,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14</v>
      </c>
      <c r="B12" s="448"/>
      <c r="C12" s="448"/>
      <c r="D12" s="687" t="s">
        <v>14</v>
      </c>
      <c r="E12" s="448"/>
      <c r="F12" s="687" t="s">
        <v>14</v>
      </c>
      <c r="G12" s="448"/>
      <c r="H12" s="687" t="s">
        <v>14</v>
      </c>
      <c r="I12" s="448"/>
      <c r="J12" s="687" t="s">
        <v>14</v>
      </c>
      <c r="K12" s="448" t="s">
        <v>14</v>
      </c>
      <c r="L12" s="687" t="s">
        <v>14</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222</v>
      </c>
      <c r="B13" s="452"/>
      <c r="C13" s="452"/>
      <c r="D13" s="688"/>
      <c r="E13" s="688"/>
      <c r="F13" s="471"/>
      <c r="G13" s="442"/>
      <c r="H13" s="471"/>
      <c r="I13" s="688"/>
      <c r="J13" s="688"/>
      <c r="K13" s="688"/>
      <c r="L13" s="688"/>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88"/>
      <c r="E14" s="688"/>
      <c r="F14" s="688"/>
      <c r="G14" s="688"/>
      <c r="H14" s="688"/>
      <c r="I14" s="688"/>
      <c r="J14" s="688"/>
      <c r="K14" s="688"/>
      <c r="L14" s="688"/>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922</v>
      </c>
      <c r="B15" s="452"/>
      <c r="C15" s="452"/>
      <c r="D15" s="3424">
        <v>-0.01</v>
      </c>
      <c r="E15" s="1684"/>
      <c r="F15" s="1683">
        <v>5.8970000000000002</v>
      </c>
      <c r="G15" s="1684"/>
      <c r="H15" s="1683">
        <v>8.2829999999999995</v>
      </c>
      <c r="I15" s="1684"/>
      <c r="J15" s="1683">
        <v>0</v>
      </c>
      <c r="K15" s="1685"/>
      <c r="L15" s="1686">
        <f>ROUND(SUM(D15)+SUM(F15)-SUM(H15)+SUM(J15),3)</f>
        <v>-2.3959999999999999</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25" t="s">
        <v>14</v>
      </c>
      <c r="E16" s="689"/>
      <c r="F16" s="690" t="s">
        <v>14</v>
      </c>
      <c r="G16" s="689"/>
      <c r="H16" s="690" t="s">
        <v>14</v>
      </c>
      <c r="I16" s="689"/>
      <c r="J16" s="691" t="s">
        <v>14</v>
      </c>
      <c r="K16" s="689"/>
      <c r="L16" s="692" t="s">
        <v>14</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370</v>
      </c>
      <c r="B17" s="452"/>
      <c r="C17" s="452"/>
      <c r="D17" s="693">
        <f>ROUND(SUM(D15),3)</f>
        <v>-0.01</v>
      </c>
      <c r="E17" s="694"/>
      <c r="F17" s="693">
        <f>ROUND(SUM(F15),3)</f>
        <v>5.8970000000000002</v>
      </c>
      <c r="G17" s="694"/>
      <c r="H17" s="693">
        <f>ROUND(SUM(H15),3)</f>
        <v>8.2829999999999995</v>
      </c>
      <c r="I17" s="694"/>
      <c r="J17" s="892">
        <f>ROUND(SUM(J15),3)</f>
        <v>0</v>
      </c>
      <c r="K17" s="694"/>
      <c r="L17" s="693">
        <f>ROUND(SUM(L15),3)</f>
        <v>-2.3959999999999999</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695"/>
      <c r="E18" s="445"/>
      <c r="F18" s="695"/>
      <c r="G18" s="445"/>
      <c r="H18" s="695"/>
      <c r="I18" s="445"/>
      <c r="J18" s="446"/>
      <c r="K18" s="445"/>
      <c r="L18" s="695"/>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226</v>
      </c>
      <c r="B19" s="448"/>
      <c r="C19" s="448"/>
      <c r="D19" s="696"/>
      <c r="E19" s="696"/>
      <c r="F19" s="696"/>
      <c r="G19" s="696"/>
      <c r="H19" s="696"/>
      <c r="I19" s="696"/>
      <c r="J19" s="696"/>
      <c r="K19" s="696"/>
      <c r="L19" s="696"/>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696"/>
      <c r="E20" s="696"/>
      <c r="F20" s="696"/>
      <c r="G20" s="696"/>
      <c r="H20" s="696"/>
      <c r="I20" s="696"/>
      <c r="J20" s="696"/>
      <c r="K20" s="696"/>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7.649999999999999" customHeight="1">
      <c r="A21" s="697" t="s">
        <v>1524</v>
      </c>
      <c r="B21" s="448"/>
      <c r="C21" s="448"/>
      <c r="D21" s="1687">
        <v>25.696000000000002</v>
      </c>
      <c r="E21" s="1684"/>
      <c r="F21" s="1687">
        <v>2E-3</v>
      </c>
      <c r="G21" s="1684"/>
      <c r="H21" s="1687">
        <v>0</v>
      </c>
      <c r="I21" s="1684"/>
      <c r="J21" s="1687">
        <v>0</v>
      </c>
      <c r="K21" s="1685"/>
      <c r="L21" s="1688">
        <f>ROUND(SUM(D21)+SUM(F21)-SUM(H21)+SUM(J21),3)</f>
        <v>25.698</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6.5" customHeight="1">
      <c r="A22" s="697" t="s">
        <v>371</v>
      </c>
      <c r="B22" s="448"/>
      <c r="C22" s="470"/>
      <c r="D22" s="1687">
        <v>3.0680000000000001</v>
      </c>
      <c r="E22" s="1684"/>
      <c r="F22" s="1687">
        <v>0.121</v>
      </c>
      <c r="G22" s="1684"/>
      <c r="H22" s="1687">
        <v>1.6E-2</v>
      </c>
      <c r="I22" s="1684"/>
      <c r="J22" s="1687">
        <v>0</v>
      </c>
      <c r="K22" s="1685"/>
      <c r="L22" s="1688">
        <f>ROUND(SUM(D22)+SUM(F22)-SUM(H22)+SUM(J22),3)</f>
        <v>3.173</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15.75" customHeight="1">
      <c r="A23" s="697" t="s">
        <v>372</v>
      </c>
      <c r="B23" s="448"/>
      <c r="C23" s="448"/>
      <c r="D23" s="1689">
        <v>11.422000000000001</v>
      </c>
      <c r="E23" s="1684"/>
      <c r="F23" s="1689">
        <v>5.8999999999999997E-2</v>
      </c>
      <c r="G23" s="1684"/>
      <c r="H23" s="1689">
        <v>0.02</v>
      </c>
      <c r="I23" s="1684"/>
      <c r="J23" s="1689">
        <v>0</v>
      </c>
      <c r="K23" s="1685"/>
      <c r="L23" s="1690">
        <f>ROUND(SUM(D23)+SUM(F23)-SUM(H23)+SUM(J23),3)</f>
        <v>11.461</v>
      </c>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6.75" customHeight="1">
      <c r="A24" s="697"/>
      <c r="B24" s="448"/>
      <c r="C24" s="448"/>
      <c r="D24" s="446"/>
      <c r="E24" s="445"/>
      <c r="F24" s="446" t="s">
        <v>14</v>
      </c>
      <c r="G24" s="445"/>
      <c r="H24" s="698"/>
      <c r="I24" s="445"/>
      <c r="J24" s="699"/>
      <c r="K24" s="445"/>
      <c r="L24" s="446"/>
      <c r="M24" s="450"/>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7.25" customHeight="1">
      <c r="A25" s="454" t="s">
        <v>1120</v>
      </c>
      <c r="B25" s="448"/>
      <c r="C25" s="470"/>
      <c r="D25" s="700">
        <f>ROUND(SUM(D21:D23),3)</f>
        <v>40.186</v>
      </c>
      <c r="E25" s="696"/>
      <c r="F25" s="700">
        <f>ROUND(SUM(F21:F23),3)</f>
        <v>0.182</v>
      </c>
      <c r="G25" s="696"/>
      <c r="H25" s="700">
        <f>ROUND(SUM(H21:H23),3)</f>
        <v>3.5999999999999997E-2</v>
      </c>
      <c r="I25" s="696"/>
      <c r="J25" s="700">
        <f>ROUND(SUM(J21:J23),3)</f>
        <v>0</v>
      </c>
      <c r="K25" s="696"/>
      <c r="L25" s="700">
        <f>ROUND(SUM(L21:L23),3)</f>
        <v>40.332000000000001</v>
      </c>
      <c r="M25" s="462"/>
      <c r="N25" s="463"/>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2" customHeight="1">
      <c r="A26" s="448"/>
      <c r="B26" s="448"/>
      <c r="C26" s="448"/>
      <c r="D26" s="696"/>
      <c r="E26" s="694"/>
      <c r="F26" s="696"/>
      <c r="G26" s="694"/>
      <c r="H26" s="696"/>
      <c r="I26" s="694"/>
      <c r="J26" s="696"/>
      <c r="K26" s="694"/>
      <c r="L26" s="696"/>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18">
      <c r="A27" s="455" t="s">
        <v>373</v>
      </c>
      <c r="B27" s="448"/>
      <c r="C27" s="448"/>
      <c r="D27" s="694"/>
      <c r="E27" s="694"/>
      <c r="F27" s="694"/>
      <c r="G27" s="694"/>
      <c r="H27" s="694"/>
      <c r="I27" s="694"/>
      <c r="J27" s="694"/>
      <c r="K27" s="694"/>
      <c r="L27" s="694"/>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7.5" customHeight="1">
      <c r="A28" s="452" t="s">
        <v>14</v>
      </c>
      <c r="B28" s="452"/>
      <c r="C28" s="452"/>
      <c r="D28" s="445"/>
      <c r="E28" s="445"/>
      <c r="F28" s="445"/>
      <c r="G28" s="445"/>
      <c r="H28" s="445"/>
      <c r="I28" s="445"/>
      <c r="J28" s="445"/>
      <c r="K28" s="445"/>
      <c r="L28" s="445"/>
      <c r="M28" s="450"/>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6.5" customHeight="1">
      <c r="A29" s="452" t="s">
        <v>913</v>
      </c>
      <c r="B29" s="452"/>
      <c r="C29" s="452" t="s">
        <v>14</v>
      </c>
      <c r="D29" s="1687">
        <v>18.443000000000001</v>
      </c>
      <c r="E29" s="1684"/>
      <c r="F29" s="1687">
        <v>9.5000000000000001E-2</v>
      </c>
      <c r="G29" s="1684"/>
      <c r="H29" s="1687">
        <v>0</v>
      </c>
      <c r="I29" s="1684"/>
      <c r="J29" s="1687">
        <v>0</v>
      </c>
      <c r="K29" s="1685"/>
      <c r="L29" s="1688">
        <f t="shared" ref="L29:L44" si="0">ROUND(SUM(D29)+SUM(F29)-SUM(H29)+SUM(J29),3)</f>
        <v>18.538</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5.75" customHeight="1">
      <c r="A30" s="697" t="s">
        <v>374</v>
      </c>
      <c r="B30" s="452"/>
      <c r="C30" s="452"/>
      <c r="D30" s="1687">
        <v>0.54800000000000004</v>
      </c>
      <c r="E30" s="1684"/>
      <c r="F30" s="1687">
        <v>4.0000000000000001E-3</v>
      </c>
      <c r="G30" s="1684"/>
      <c r="H30" s="1687">
        <v>1E-3</v>
      </c>
      <c r="I30" s="1684"/>
      <c r="J30" s="1687">
        <v>0</v>
      </c>
      <c r="K30" s="1685"/>
      <c r="L30" s="1688">
        <f t="shared" si="0"/>
        <v>0.55100000000000005</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375</v>
      </c>
      <c r="B31" s="452"/>
      <c r="C31" s="452"/>
      <c r="D31" s="1687">
        <v>1589.924</v>
      </c>
      <c r="E31" s="1684"/>
      <c r="F31" s="1687">
        <v>789.72699999999998</v>
      </c>
      <c r="G31" s="1684"/>
      <c r="H31" s="1687">
        <v>992.19500000000005</v>
      </c>
      <c r="I31" s="1684"/>
      <c r="J31" s="1687">
        <v>0</v>
      </c>
      <c r="K31" s="1685"/>
      <c r="L31" s="1688">
        <f t="shared" si="0"/>
        <v>1387.4559999999999</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376</v>
      </c>
      <c r="B32" s="452"/>
      <c r="C32" s="452" t="s">
        <v>14</v>
      </c>
      <c r="D32" s="1687">
        <v>15.311</v>
      </c>
      <c r="E32" s="1684"/>
      <c r="F32" s="1687">
        <v>101.89700000000001</v>
      </c>
      <c r="G32" s="1684"/>
      <c r="H32" s="1687">
        <v>102.18899999999999</v>
      </c>
      <c r="I32" s="1684"/>
      <c r="J32" s="1687">
        <v>0</v>
      </c>
      <c r="K32" s="1685"/>
      <c r="L32" s="1688">
        <f>ROUND(SUM(D32)+SUM(F32)-SUM(H32)+SUM(J32),3)</f>
        <v>15.019</v>
      </c>
      <c r="M32" s="459"/>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925</v>
      </c>
      <c r="B33" s="452"/>
      <c r="C33" s="452"/>
      <c r="D33" s="1687">
        <v>64.200999999999993</v>
      </c>
      <c r="E33" s="1684"/>
      <c r="F33" s="1687">
        <v>373.96100000000001</v>
      </c>
      <c r="G33" s="1684"/>
      <c r="H33" s="1687">
        <v>396.49900000000002</v>
      </c>
      <c r="I33" s="1684"/>
      <c r="J33" s="1687">
        <v>0</v>
      </c>
      <c r="K33" s="1685"/>
      <c r="L33" s="1688">
        <f t="shared" si="0"/>
        <v>41.662999999999997</v>
      </c>
      <c r="M33" s="459"/>
      <c r="N33" s="397"/>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6.5" customHeight="1">
      <c r="A34" s="452" t="s">
        <v>377</v>
      </c>
      <c r="B34" s="452"/>
      <c r="C34" s="452" t="s">
        <v>14</v>
      </c>
      <c r="D34" s="1687">
        <v>32.857999999999997</v>
      </c>
      <c r="E34" s="1684"/>
      <c r="F34" s="1687">
        <v>14.831</v>
      </c>
      <c r="G34" s="1684"/>
      <c r="H34" s="1687">
        <v>5.6559999999999997</v>
      </c>
      <c r="I34" s="1684"/>
      <c r="J34" s="1687">
        <v>0</v>
      </c>
      <c r="K34" s="1685"/>
      <c r="L34" s="1688">
        <f t="shared" si="0"/>
        <v>42.033000000000001</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378</v>
      </c>
      <c r="B35" s="452"/>
      <c r="C35" s="452"/>
      <c r="D35" s="1687">
        <v>0.59299999999999997</v>
      </c>
      <c r="E35" s="1684"/>
      <c r="F35" s="1687">
        <v>1.806</v>
      </c>
      <c r="G35" s="1684"/>
      <c r="H35" s="1687">
        <v>0.75800000000000001</v>
      </c>
      <c r="I35" s="1684"/>
      <c r="J35" s="1687">
        <v>0</v>
      </c>
      <c r="K35" s="1685"/>
      <c r="L35" s="1688">
        <f t="shared" si="0"/>
        <v>1.641</v>
      </c>
      <c r="M35" s="459"/>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5.75" customHeight="1">
      <c r="A36" s="452" t="s">
        <v>379</v>
      </c>
      <c r="B36" s="452"/>
      <c r="C36" s="452"/>
      <c r="D36" s="1687">
        <v>536.57100000000003</v>
      </c>
      <c r="E36" s="1684"/>
      <c r="F36" s="1687">
        <v>75.62</v>
      </c>
      <c r="G36" s="1684"/>
      <c r="H36" s="1687">
        <v>87.451999999999998</v>
      </c>
      <c r="I36" s="1684"/>
      <c r="J36" s="1687">
        <v>0</v>
      </c>
      <c r="K36" s="1685"/>
      <c r="L36" s="1688">
        <f t="shared" si="0"/>
        <v>524.73900000000003</v>
      </c>
      <c r="M36" s="464"/>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380</v>
      </c>
      <c r="B37" s="452"/>
      <c r="C37" s="452"/>
      <c r="D37" s="1687">
        <v>0</v>
      </c>
      <c r="E37" s="1684"/>
      <c r="F37" s="1687">
        <v>0</v>
      </c>
      <c r="G37" s="1684"/>
      <c r="H37" s="1687">
        <v>0</v>
      </c>
      <c r="I37" s="1684"/>
      <c r="J37" s="1687">
        <v>0</v>
      </c>
      <c r="K37" s="1685"/>
      <c r="L37" s="1688">
        <f t="shared" si="0"/>
        <v>0</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381</v>
      </c>
      <c r="B38" s="452"/>
      <c r="C38" s="452"/>
      <c r="D38" s="1687">
        <v>1001.995</v>
      </c>
      <c r="E38" s="1684"/>
      <c r="F38" s="1687">
        <v>429.30600000000004</v>
      </c>
      <c r="G38" s="1684"/>
      <c r="H38" s="1687">
        <v>462.59</v>
      </c>
      <c r="I38" s="1684"/>
      <c r="J38" s="1687">
        <v>0</v>
      </c>
      <c r="K38" s="1685"/>
      <c r="L38" s="1688">
        <f t="shared" si="0"/>
        <v>968.71100000000001</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929</v>
      </c>
      <c r="B39" s="452"/>
      <c r="C39" s="452"/>
      <c r="D39" s="1687">
        <v>37.008000000000003</v>
      </c>
      <c r="E39" s="1684"/>
      <c r="F39" s="1687">
        <v>1.522</v>
      </c>
      <c r="G39" s="1684"/>
      <c r="H39" s="1687">
        <v>7.34</v>
      </c>
      <c r="I39" s="1684"/>
      <c r="J39" s="1687">
        <v>0</v>
      </c>
      <c r="K39" s="1685"/>
      <c r="L39" s="1688">
        <f t="shared" si="0"/>
        <v>31.19</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930</v>
      </c>
      <c r="B40" s="452"/>
      <c r="C40" s="452"/>
      <c r="D40" s="1687">
        <v>2714.442</v>
      </c>
      <c r="E40" s="1684"/>
      <c r="F40" s="1687">
        <v>7597.0119999999997</v>
      </c>
      <c r="G40" s="1684"/>
      <c r="H40" s="1687">
        <v>10209.352999999999</v>
      </c>
      <c r="I40" s="1684"/>
      <c r="J40" s="1687">
        <v>0</v>
      </c>
      <c r="K40" s="3029"/>
      <c r="L40" s="1688">
        <f t="shared" si="0"/>
        <v>102.101</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383</v>
      </c>
      <c r="B41" s="452"/>
      <c r="C41" s="452"/>
      <c r="D41" s="1687">
        <v>0</v>
      </c>
      <c r="E41" s="1684"/>
      <c r="F41" s="1687">
        <v>0</v>
      </c>
      <c r="G41" s="1684"/>
      <c r="H41" s="1687">
        <v>0</v>
      </c>
      <c r="I41" s="1684"/>
      <c r="J41" s="1687">
        <v>0</v>
      </c>
      <c r="K41" s="1685"/>
      <c r="L41" s="1688">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923</v>
      </c>
      <c r="B42" s="452"/>
      <c r="C42" s="452"/>
      <c r="D42" s="1687">
        <v>86.980999999999995</v>
      </c>
      <c r="E42" s="1684"/>
      <c r="F42" s="1687">
        <v>74.209999999999994</v>
      </c>
      <c r="G42" s="1684"/>
      <c r="H42" s="1687">
        <v>0</v>
      </c>
      <c r="I42" s="1684"/>
      <c r="J42" s="1687">
        <v>0</v>
      </c>
      <c r="K42" s="1685"/>
      <c r="L42" s="1688">
        <f t="shared" si="0"/>
        <v>161.191</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924</v>
      </c>
      <c r="B43" s="452"/>
      <c r="C43" s="452"/>
      <c r="D43" s="1687">
        <v>-0.68700000000000006</v>
      </c>
      <c r="E43" s="1684"/>
      <c r="F43" s="1687">
        <v>7.6580000000000004</v>
      </c>
      <c r="G43" s="1684"/>
      <c r="H43" s="1687">
        <v>8.8670000000000009</v>
      </c>
      <c r="I43" s="1684"/>
      <c r="J43" s="1687">
        <v>0</v>
      </c>
      <c r="K43" s="1685"/>
      <c r="L43" s="1688">
        <f t="shared" si="0"/>
        <v>-1.8959999999999999</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1122</v>
      </c>
      <c r="B44" s="452"/>
      <c r="C44" s="452"/>
      <c r="D44" s="1687">
        <v>0</v>
      </c>
      <c r="E44" s="1684"/>
      <c r="F44" s="1687">
        <v>0</v>
      </c>
      <c r="G44" s="1684"/>
      <c r="H44" s="1687">
        <v>0</v>
      </c>
      <c r="I44" s="1684"/>
      <c r="J44" s="1687">
        <v>0</v>
      </c>
      <c r="K44" s="1685"/>
      <c r="L44" s="1688">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1117</v>
      </c>
      <c r="B45" s="452"/>
      <c r="C45" s="452"/>
      <c r="D45" s="701">
        <f>ROUND(SUM(D29:D44),3)</f>
        <v>6098.1880000000001</v>
      </c>
      <c r="E45" s="693"/>
      <c r="F45" s="701">
        <f>ROUND(SUM(F29:F44),3)</f>
        <v>9467.6489999999994</v>
      </c>
      <c r="G45" s="693"/>
      <c r="H45" s="701">
        <f>ROUND(SUM(H29:H44),3)</f>
        <v>12272.9</v>
      </c>
      <c r="I45" s="693"/>
      <c r="J45" s="701">
        <f>ROUND(SUM(J29:J44),3)</f>
        <v>0</v>
      </c>
      <c r="K45" s="693"/>
      <c r="L45" s="701">
        <f>ROUND(SUM(L29:L44),3)</f>
        <v>3292.9369999999999</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695" t="s">
        <v>14</v>
      </c>
      <c r="E46" s="445"/>
      <c r="F46" s="695" t="s">
        <v>14</v>
      </c>
      <c r="G46" s="445"/>
      <c r="H46" s="695" t="s">
        <v>14</v>
      </c>
      <c r="I46" s="445"/>
      <c r="J46" s="446" t="s">
        <v>14</v>
      </c>
      <c r="K46" s="445"/>
      <c r="L46" s="695" t="s">
        <v>14</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2"/>
      <c r="E47" s="702"/>
      <c r="F47" s="702"/>
      <c r="G47" s="702"/>
      <c r="H47" s="702"/>
      <c r="I47" s="702"/>
      <c r="J47" s="702"/>
      <c r="K47" s="702"/>
      <c r="L47" s="702"/>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1118</v>
      </c>
      <c r="B48" s="452"/>
      <c r="C48" s="470"/>
      <c r="D48" s="703">
        <f>ROUND(D17+D25+D45,3)</f>
        <v>6138.3639999999996</v>
      </c>
      <c r="E48" s="704"/>
      <c r="F48" s="703">
        <f>ROUND(F17+F25+F45,3)</f>
        <v>9473.7279999999992</v>
      </c>
      <c r="G48" s="704"/>
      <c r="H48" s="703">
        <f>ROUND(H17+H25+H45,3)</f>
        <v>12281.218999999999</v>
      </c>
      <c r="I48" s="705"/>
      <c r="J48" s="703">
        <f>ROUND(J17+J25+J45,3)</f>
        <v>0</v>
      </c>
      <c r="K48" s="704"/>
      <c r="L48" s="703">
        <f>ROUND(L17+L25+L45,3)</f>
        <v>3330.873</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06" t="s">
        <v>14</v>
      </c>
      <c r="E49" s="689"/>
      <c r="F49" s="706" t="s">
        <v>14</v>
      </c>
      <c r="G49" s="689"/>
      <c r="H49" s="706" t="s">
        <v>14</v>
      </c>
      <c r="I49" s="689"/>
      <c r="J49" s="688" t="s">
        <v>14</v>
      </c>
      <c r="K49" s="689"/>
      <c r="L49" s="706" t="s">
        <v>14</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07"/>
      <c r="B50" s="452"/>
      <c r="C50" s="452"/>
      <c r="D50" s="452"/>
      <c r="E50" s="452"/>
      <c r="F50" s="452"/>
      <c r="G50" s="452"/>
      <c r="H50" s="452"/>
      <c r="I50" s="452"/>
      <c r="J50" s="452" t="s">
        <v>14</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14</v>
      </c>
      <c r="E51" s="452"/>
      <c r="F51" s="1687" t="s">
        <v>14</v>
      </c>
      <c r="G51" s="452"/>
      <c r="H51" s="452"/>
      <c r="I51" s="452"/>
      <c r="J51" s="452" t="s">
        <v>14</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14</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08"/>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08"/>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765625" defaultRowHeight="12.5"/>
  <cols>
    <col min="1" max="1" width="53.53515625" style="1890" customWidth="1"/>
    <col min="2" max="2" width="1.765625" style="1890" customWidth="1"/>
    <col min="3" max="3" width="2.765625" style="1890" customWidth="1"/>
    <col min="4" max="4" width="20.07421875" style="1890" customWidth="1"/>
    <col min="5" max="5" width="7.765625" style="1890" customWidth="1"/>
    <col min="6" max="6" width="18.765625" style="1890" customWidth="1"/>
    <col min="7" max="7" width="7.765625" style="1890" customWidth="1"/>
    <col min="8" max="8" width="18.765625" style="1890" customWidth="1"/>
    <col min="9" max="9" width="7.765625" style="1890" customWidth="1"/>
    <col min="10" max="10" width="21.765625" style="1890" customWidth="1"/>
    <col min="11" max="11" width="10.765625" style="1890" customWidth="1"/>
    <col min="12" max="16384" width="8.765625" style="1890"/>
  </cols>
  <sheetData>
    <row r="1" spans="1:10" ht="15.5">
      <c r="A1" s="640" t="s">
        <v>885</v>
      </c>
    </row>
    <row r="2" spans="1:10" ht="15.5">
      <c r="A2" s="1891"/>
    </row>
    <row r="3" spans="1:10" ht="18">
      <c r="A3" s="1892" t="s">
        <v>0</v>
      </c>
      <c r="B3" s="1893"/>
      <c r="C3" s="1893"/>
      <c r="D3" s="1893"/>
      <c r="E3" s="1893"/>
      <c r="F3" s="1893"/>
      <c r="G3" s="1892"/>
      <c r="H3" s="1892"/>
      <c r="I3" s="1892"/>
      <c r="J3" s="1895" t="s">
        <v>384</v>
      </c>
    </row>
    <row r="4" spans="1:10" ht="18">
      <c r="A4" s="1892" t="s">
        <v>385</v>
      </c>
      <c r="B4" s="1893"/>
      <c r="C4" s="1892"/>
      <c r="D4" s="1893"/>
      <c r="E4" s="1893"/>
      <c r="F4" s="1893"/>
      <c r="G4" s="1892"/>
      <c r="H4" s="1892"/>
      <c r="I4" s="1892"/>
      <c r="J4" s="1892"/>
    </row>
    <row r="5" spans="1:10" ht="18">
      <c r="A5" s="1892" t="s">
        <v>386</v>
      </c>
      <c r="B5" s="1893"/>
      <c r="C5" s="1892"/>
      <c r="D5" s="1893"/>
      <c r="E5" s="1893"/>
      <c r="F5" s="1893"/>
      <c r="G5" s="1892"/>
      <c r="H5" s="1892"/>
      <c r="I5" s="1892"/>
      <c r="J5" s="1892"/>
    </row>
    <row r="6" spans="1:10" ht="18">
      <c r="A6" s="1892" t="str">
        <f>'Sch 3 '!A6</f>
        <v>FISCAL YEAR 2021-2022</v>
      </c>
      <c r="B6" s="1893"/>
      <c r="C6" s="1892"/>
      <c r="D6" s="1893"/>
      <c r="E6" s="1893"/>
      <c r="F6" s="1893"/>
      <c r="G6" s="1892"/>
      <c r="H6" s="1892"/>
      <c r="I6" s="1892"/>
      <c r="J6" s="1892"/>
    </row>
    <row r="7" spans="1:10" ht="18">
      <c r="A7" s="1894" t="str">
        <f>'Sch 3 '!A7</f>
        <v>FOR THE MONTH OF APRIL 2021</v>
      </c>
      <c r="B7" s="1893"/>
      <c r="C7" s="1892"/>
      <c r="D7" s="3073"/>
      <c r="E7" s="1893"/>
      <c r="F7" s="1893"/>
      <c r="G7" s="1892"/>
      <c r="H7" s="1892"/>
      <c r="I7" s="1892"/>
      <c r="J7" s="1892"/>
    </row>
    <row r="8" spans="1:10" ht="18">
      <c r="A8" s="1892" t="s">
        <v>1280</v>
      </c>
      <c r="B8" s="1893"/>
      <c r="C8" s="1892"/>
      <c r="D8" s="3073"/>
      <c r="E8" s="1893"/>
      <c r="F8" s="1893"/>
      <c r="G8" s="1892"/>
      <c r="H8" s="1892"/>
      <c r="I8" s="1892"/>
      <c r="J8" s="1892"/>
    </row>
    <row r="9" spans="1:10" ht="18">
      <c r="A9" s="1892"/>
      <c r="B9" s="1893"/>
      <c r="C9" s="1892"/>
      <c r="D9" s="3073"/>
      <c r="E9" s="1893"/>
      <c r="F9" s="1893"/>
      <c r="G9" s="1892"/>
      <c r="H9" s="1892"/>
      <c r="I9" s="1892"/>
      <c r="J9" s="1892"/>
    </row>
    <row r="10" spans="1:10" ht="18">
      <c r="A10" s="1892"/>
      <c r="B10" s="1892"/>
      <c r="C10" s="1892"/>
      <c r="D10" s="3074"/>
      <c r="E10" s="1892"/>
      <c r="F10" s="1892"/>
      <c r="G10" s="1892"/>
      <c r="H10" s="1892"/>
      <c r="I10" s="1892"/>
      <c r="J10" s="1892"/>
    </row>
    <row r="11" spans="1:10" ht="18">
      <c r="A11" s="1892"/>
      <c r="B11" s="1892"/>
      <c r="C11" s="1892"/>
      <c r="D11" s="3075"/>
      <c r="E11" s="1892"/>
      <c r="F11" s="1892"/>
      <c r="G11" s="1892"/>
      <c r="H11" s="1892"/>
      <c r="I11" s="1892"/>
      <c r="J11" s="1895"/>
    </row>
    <row r="12" spans="1:10" ht="18">
      <c r="A12" s="1892"/>
      <c r="B12" s="1892"/>
      <c r="C12" s="1892"/>
      <c r="D12" s="3075" t="s">
        <v>232</v>
      </c>
      <c r="E12" s="1892"/>
      <c r="F12" s="1892"/>
      <c r="G12" s="1892"/>
      <c r="H12" s="1892"/>
      <c r="I12" s="1892"/>
      <c r="J12" s="1895" t="s">
        <v>232</v>
      </c>
    </row>
    <row r="13" spans="1:10" ht="18">
      <c r="A13" s="1896" t="s">
        <v>355</v>
      </c>
      <c r="B13" s="1892"/>
      <c r="C13" s="1892"/>
      <c r="D13" s="3370" t="str">
        <f>'Sch 3 '!D11</f>
        <v>APRIL 1, 2021</v>
      </c>
      <c r="E13" s="1892"/>
      <c r="F13" s="1895" t="s">
        <v>234</v>
      </c>
      <c r="G13" s="1892"/>
      <c r="H13" s="1895" t="s">
        <v>235</v>
      </c>
      <c r="I13" s="1892"/>
      <c r="J13" s="1897" t="str">
        <f>'Sch 3 '!L11</f>
        <v>APRIL 30, 2021</v>
      </c>
    </row>
    <row r="14" spans="1:10" ht="18">
      <c r="A14" s="1896"/>
      <c r="B14" s="1892"/>
      <c r="C14" s="1892"/>
      <c r="D14" s="3423"/>
      <c r="E14" s="1892"/>
      <c r="F14" s="1898"/>
      <c r="G14" s="1892"/>
      <c r="H14" s="1899" t="s">
        <v>231</v>
      </c>
      <c r="I14" s="1892"/>
      <c r="J14" s="1898"/>
    </row>
    <row r="15" spans="1:10" ht="18">
      <c r="A15" s="1900" t="s">
        <v>387</v>
      </c>
      <c r="B15" s="1892"/>
      <c r="C15" s="1892"/>
      <c r="D15" s="3074"/>
      <c r="E15" s="3074"/>
      <c r="F15" s="3086"/>
      <c r="G15" s="3074"/>
      <c r="H15" s="3074"/>
      <c r="I15" s="3074"/>
      <c r="J15" s="3074"/>
    </row>
    <row r="16" spans="1:10" ht="25.4" customHeight="1">
      <c r="A16" s="1893" t="s">
        <v>388</v>
      </c>
      <c r="B16" s="1892"/>
      <c r="C16" s="1893"/>
      <c r="D16" s="1683">
        <v>2.8889999999999998</v>
      </c>
      <c r="E16" s="1901"/>
      <c r="F16" s="1683">
        <v>0</v>
      </c>
      <c r="G16" s="1901"/>
      <c r="H16" s="1683">
        <v>0</v>
      </c>
      <c r="I16" s="1901"/>
      <c r="J16" s="1901">
        <f>ROUND(D16+F16-H16,3)</f>
        <v>2.8889999999999998</v>
      </c>
    </row>
    <row r="17" spans="1:14" s="3528" customFormat="1" ht="25.4" customHeight="1">
      <c r="A17" s="3073" t="s">
        <v>1382</v>
      </c>
      <c r="B17" s="3073"/>
      <c r="C17" s="3073"/>
      <c r="D17" s="1687">
        <v>196.14099999999999</v>
      </c>
      <c r="E17" s="1903"/>
      <c r="F17" s="1687">
        <v>210.226</v>
      </c>
      <c r="G17" s="1901"/>
      <c r="H17" s="1687">
        <v>171.863</v>
      </c>
      <c r="I17" s="1903"/>
      <c r="J17" s="1904">
        <f>ROUND(D17+F17-H17,3)</f>
        <v>234.50399999999999</v>
      </c>
    </row>
    <row r="18" spans="1:14" ht="25.4" customHeight="1">
      <c r="A18" s="1902" t="s">
        <v>1383</v>
      </c>
      <c r="B18" s="1893"/>
      <c r="C18" s="1893"/>
      <c r="D18" s="1687">
        <v>2888.2130000000002</v>
      </c>
      <c r="E18" s="1903"/>
      <c r="F18" s="1687">
        <v>2664.7849999999999</v>
      </c>
      <c r="G18" s="1901"/>
      <c r="H18" s="1687">
        <v>3240.5160000000001</v>
      </c>
      <c r="I18" s="1903"/>
      <c r="J18" s="1904">
        <f>ROUND(D18+F18-H18,3)</f>
        <v>2312.482</v>
      </c>
    </row>
    <row r="19" spans="1:14" ht="25.4" customHeight="1">
      <c r="A19" s="1893" t="s">
        <v>1223</v>
      </c>
      <c r="B19" s="1893"/>
      <c r="C19" s="1893"/>
      <c r="D19" s="1687">
        <v>0</v>
      </c>
      <c r="E19" s="1903"/>
      <c r="F19" s="1687">
        <v>259.125</v>
      </c>
      <c r="G19" s="1901"/>
      <c r="H19" s="1687">
        <v>259.125</v>
      </c>
      <c r="I19" s="1903"/>
      <c r="J19" s="1904">
        <f>ROUND(D19+F19-H19,3)</f>
        <v>0</v>
      </c>
    </row>
    <row r="20" spans="1:14" ht="25.4" customHeight="1" thickBot="1">
      <c r="A20" s="1905" t="s">
        <v>389</v>
      </c>
      <c r="B20" s="1893"/>
      <c r="C20" s="1893"/>
      <c r="D20" s="1906">
        <f>ROUND(SUM(D16:D19),3)</f>
        <v>3087.2429999999999</v>
      </c>
      <c r="E20" s="3087"/>
      <c r="F20" s="1906">
        <f>ROUND(SUM(F16:F19),3)</f>
        <v>3134.136</v>
      </c>
      <c r="G20" s="3087"/>
      <c r="H20" s="1906">
        <f>ROUND(SUM(H16:H19),3)</f>
        <v>3671.5039999999999</v>
      </c>
      <c r="I20" s="3087"/>
      <c r="J20" s="1906">
        <f>ROUND(SUM(J16:J19),3)</f>
        <v>2549.875</v>
      </c>
      <c r="K20" s="1907"/>
      <c r="L20" s="1907"/>
      <c r="M20" s="1907"/>
      <c r="N20" s="1907"/>
    </row>
    <row r="21" spans="1:14" ht="18" thickTop="1">
      <c r="A21" s="1893"/>
      <c r="B21" s="1893"/>
      <c r="C21" s="1893"/>
      <c r="D21" s="3076"/>
      <c r="E21" s="1893"/>
      <c r="F21" s="1908"/>
      <c r="G21" s="1893"/>
      <c r="H21" s="1908"/>
      <c r="I21" s="1893"/>
      <c r="J21" s="1908"/>
    </row>
    <row r="22" spans="1:14" ht="17.5">
      <c r="A22" s="1893"/>
      <c r="B22" s="1893"/>
      <c r="C22" s="1893"/>
      <c r="D22" s="3076"/>
      <c r="E22" s="1893"/>
      <c r="F22" s="1908"/>
      <c r="G22" s="1893"/>
      <c r="H22" s="1908"/>
      <c r="I22" s="1893"/>
      <c r="J22" s="1908"/>
    </row>
    <row r="23" spans="1:14" ht="6.75" customHeight="1">
      <c r="A23" s="1893"/>
      <c r="B23" s="1893"/>
      <c r="C23" s="1893"/>
      <c r="D23" s="1908"/>
      <c r="E23" s="1893"/>
      <c r="F23" s="1908"/>
      <c r="G23" s="1893"/>
      <c r="H23" s="1908"/>
      <c r="I23" s="1893"/>
      <c r="J23" s="1908"/>
    </row>
    <row r="24" spans="1:14" ht="17.5">
      <c r="A24" s="2156" t="s">
        <v>1384</v>
      </c>
      <c r="B24" s="1893"/>
      <c r="C24" s="1893"/>
      <c r="D24" s="1893"/>
      <c r="E24" s="1893"/>
      <c r="F24" s="1893" t="s">
        <v>14</v>
      </c>
      <c r="G24" s="1893"/>
      <c r="H24" s="1893"/>
      <c r="I24" s="1893"/>
      <c r="J24" s="1893"/>
    </row>
    <row r="25" spans="1:14" ht="6" customHeight="1"/>
    <row r="26" spans="1:14" ht="59.25" customHeight="1">
      <c r="A26" s="3954" t="s">
        <v>1210</v>
      </c>
      <c r="B26" s="3954"/>
      <c r="C26" s="3954"/>
      <c r="D26" s="3954"/>
      <c r="E26" s="3954"/>
      <c r="F26" s="3954"/>
      <c r="G26" s="3954"/>
      <c r="H26" s="3954"/>
      <c r="I26" s="3954"/>
      <c r="J26" s="3954"/>
    </row>
    <row r="27" spans="1:14" ht="43.4" customHeight="1">
      <c r="A27" s="3955" t="s">
        <v>1440</v>
      </c>
      <c r="B27" s="3955"/>
      <c r="C27" s="3955"/>
      <c r="D27" s="3955"/>
      <c r="E27" s="3955"/>
      <c r="F27" s="3955"/>
      <c r="G27" s="3955"/>
      <c r="H27" s="3955"/>
      <c r="I27" s="3955"/>
      <c r="J27" s="3955"/>
    </row>
    <row r="28" spans="1:14" ht="18.75" customHeight="1">
      <c r="A28" s="3956"/>
      <c r="B28" s="3956"/>
      <c r="C28" s="3956"/>
      <c r="D28" s="3956"/>
      <c r="E28" s="3956"/>
      <c r="F28" s="3956"/>
      <c r="G28" s="3956"/>
      <c r="H28" s="3956"/>
      <c r="I28" s="3956"/>
      <c r="J28" s="3956"/>
    </row>
    <row r="29" spans="1:14" ht="18" customHeight="1">
      <c r="A29" s="1909"/>
      <c r="B29" s="1934"/>
      <c r="C29" s="1934"/>
      <c r="D29" s="1934"/>
      <c r="E29" s="1934"/>
      <c r="F29" s="1687"/>
      <c r="G29" s="1934"/>
      <c r="H29" s="1934"/>
      <c r="I29" s="1934"/>
      <c r="J29" s="1934"/>
    </row>
    <row r="30" spans="1:14" ht="20.25" customHeight="1">
      <c r="A30" s="3957"/>
      <c r="B30" s="3957"/>
      <c r="C30" s="3957"/>
      <c r="D30" s="3957"/>
      <c r="E30" s="3957"/>
      <c r="F30" s="3957"/>
      <c r="G30" s="3957"/>
      <c r="H30" s="3957"/>
      <c r="I30" s="3957"/>
      <c r="J30" s="3957"/>
    </row>
    <row r="31" spans="1:14" ht="20.25" customHeight="1">
      <c r="A31" s="1935"/>
      <c r="B31" s="1934"/>
      <c r="C31" s="1934"/>
      <c r="D31" s="1934"/>
      <c r="E31" s="1934"/>
      <c r="F31" s="3750" t="s">
        <v>14</v>
      </c>
      <c r="G31" s="1934"/>
      <c r="H31" s="1934"/>
      <c r="I31" s="1934"/>
      <c r="J31" s="1934"/>
    </row>
    <row r="32" spans="1:14" ht="20.25" customHeight="1">
      <c r="A32" s="1935"/>
      <c r="B32" s="1934"/>
      <c r="C32" s="1934"/>
      <c r="D32" s="1934"/>
      <c r="E32" s="1934"/>
      <c r="F32" s="1934"/>
      <c r="G32" s="1934"/>
      <c r="H32" s="1934"/>
      <c r="I32" s="1934"/>
      <c r="J32" s="1934"/>
    </row>
    <row r="33" spans="1:10" ht="20.25" customHeight="1">
      <c r="A33" s="1935"/>
      <c r="B33" s="1934"/>
      <c r="C33" s="1934"/>
      <c r="D33" s="1934"/>
      <c r="E33" s="1934"/>
      <c r="F33" s="1934"/>
      <c r="G33" s="1934"/>
      <c r="H33" s="1934"/>
      <c r="I33" s="1934"/>
      <c r="J33" s="1934"/>
    </row>
    <row r="34" spans="1:10" ht="20.25" customHeight="1">
      <c r="A34" s="1935"/>
      <c r="B34" s="1934"/>
      <c r="C34" s="1934"/>
      <c r="D34" s="1934"/>
      <c r="E34" s="1934"/>
      <c r="F34" s="1934"/>
      <c r="G34" s="1934"/>
      <c r="H34" s="1934"/>
      <c r="I34" s="1934"/>
      <c r="J34" s="1934"/>
    </row>
    <row r="35" spans="1:10" ht="20.25" customHeight="1">
      <c r="A35" s="1935"/>
      <c r="B35" s="1934"/>
      <c r="C35" s="1934"/>
      <c r="D35" s="1934"/>
      <c r="E35" s="1934"/>
      <c r="F35" s="1934"/>
      <c r="G35" s="1934"/>
      <c r="H35" s="1934"/>
      <c r="I35" s="1934"/>
      <c r="J35" s="1934"/>
    </row>
    <row r="36" spans="1:10" ht="20.25" customHeight="1">
      <c r="A36" s="1935"/>
      <c r="B36" s="1934"/>
      <c r="C36" s="1934"/>
      <c r="D36" s="1934"/>
      <c r="E36" s="1934"/>
      <c r="F36" s="1934"/>
      <c r="G36" s="1934"/>
      <c r="H36" s="1934"/>
      <c r="I36" s="1934"/>
      <c r="J36" s="1934"/>
    </row>
    <row r="37" spans="1:10" ht="20.25" customHeight="1">
      <c r="A37" s="1935"/>
      <c r="B37" s="1934"/>
      <c r="C37" s="1934"/>
      <c r="D37" s="1934"/>
      <c r="E37" s="1934"/>
      <c r="F37" s="1934"/>
      <c r="G37" s="1934"/>
      <c r="H37" s="1934"/>
      <c r="I37" s="1934"/>
      <c r="J37" s="1934"/>
    </row>
    <row r="38" spans="1:10" ht="20.25" customHeight="1">
      <c r="A38" s="1935"/>
      <c r="B38" s="1934"/>
      <c r="C38" s="1934"/>
      <c r="D38" s="1934"/>
      <c r="E38" s="1934"/>
      <c r="F38" s="1934"/>
      <c r="G38" s="1934"/>
      <c r="H38" s="1934"/>
      <c r="I38" s="1934"/>
      <c r="J38" s="1934"/>
    </row>
    <row r="39" spans="1:10" ht="20.25" customHeight="1">
      <c r="A39" s="1935"/>
      <c r="B39" s="1934"/>
      <c r="C39" s="1934"/>
      <c r="D39" s="1934"/>
      <c r="E39" s="1934"/>
      <c r="F39" s="1934"/>
      <c r="G39" s="1934"/>
      <c r="H39" s="1934"/>
      <c r="I39" s="1934"/>
      <c r="J39" s="1934"/>
    </row>
    <row r="40" spans="1:10" ht="20.25" customHeight="1">
      <c r="A40" s="1935"/>
      <c r="B40" s="1934"/>
      <c r="C40" s="1934"/>
      <c r="D40" s="1934"/>
      <c r="E40" s="1934"/>
      <c r="F40" s="1934"/>
      <c r="G40" s="1934"/>
      <c r="H40" s="1934"/>
      <c r="I40" s="1934"/>
      <c r="J40" s="1934"/>
    </row>
    <row r="41" spans="1:10" ht="20.25" customHeight="1">
      <c r="A41" s="1935"/>
      <c r="B41" s="1934"/>
      <c r="C41" s="1934"/>
      <c r="D41" s="1934"/>
      <c r="E41" s="1934"/>
      <c r="F41" s="1934"/>
      <c r="G41" s="1934"/>
      <c r="H41" s="1934"/>
      <c r="I41" s="1934"/>
      <c r="J41" s="1934"/>
    </row>
    <row r="42" spans="1:10" ht="20.25" customHeight="1">
      <c r="A42" s="1935"/>
      <c r="B42" s="1934"/>
      <c r="C42" s="1934"/>
      <c r="D42" s="1934"/>
      <c r="E42" s="1934"/>
      <c r="F42" s="1934"/>
      <c r="G42" s="1934"/>
      <c r="H42" s="1934"/>
      <c r="I42" s="1934"/>
      <c r="J42" s="1934"/>
    </row>
    <row r="43" spans="1:10" ht="21" customHeight="1"/>
    <row r="44" spans="1:10" ht="21" customHeight="1">
      <c r="A44" s="1935"/>
      <c r="B44" s="1934"/>
      <c r="C44" s="1934"/>
      <c r="D44" s="1934"/>
      <c r="E44" s="1934"/>
      <c r="F44" s="1934"/>
      <c r="G44" s="1934"/>
      <c r="H44" s="1934"/>
      <c r="I44" s="1934"/>
      <c r="J44" s="1934"/>
    </row>
    <row r="45" spans="1:10" ht="18" customHeight="1">
      <c r="A45" s="1910"/>
      <c r="B45" s="1911"/>
      <c r="C45" s="1912"/>
      <c r="D45" s="1913"/>
      <c r="E45" s="1912"/>
      <c r="F45" s="1913"/>
      <c r="G45" s="1912"/>
      <c r="H45" s="1913"/>
      <c r="I45" s="1914"/>
    </row>
    <row r="46" spans="1:10" ht="18" customHeight="1">
      <c r="A46" s="1915"/>
      <c r="B46" s="1911"/>
      <c r="C46" s="1911"/>
      <c r="D46" s="1913"/>
      <c r="E46" s="1911"/>
      <c r="F46" s="1916"/>
      <c r="G46" s="1913"/>
      <c r="H46" s="1913"/>
      <c r="I46" s="1914"/>
    </row>
    <row r="47" spans="1:10" ht="18" customHeight="1">
      <c r="A47" s="1915"/>
      <c r="B47" s="1911"/>
      <c r="C47" s="1911"/>
      <c r="D47" s="1913"/>
      <c r="E47" s="1911"/>
      <c r="F47" s="1916"/>
      <c r="G47" s="1913"/>
      <c r="H47" s="1913"/>
      <c r="I47" s="1914"/>
    </row>
    <row r="48" spans="1:10" ht="18" customHeight="1">
      <c r="A48" s="1915"/>
      <c r="B48" s="1911"/>
      <c r="C48" s="1911"/>
      <c r="D48" s="1913"/>
      <c r="E48" s="1911"/>
      <c r="F48" s="1916"/>
      <c r="G48" s="1913"/>
      <c r="H48" s="1913"/>
      <c r="I48" s="1914"/>
    </row>
    <row r="49" spans="1:9" ht="18" customHeight="1">
      <c r="A49" s="1915"/>
      <c r="B49" s="1911"/>
      <c r="C49" s="1911"/>
      <c r="D49" s="1913"/>
      <c r="E49" s="1911"/>
      <c r="F49" s="1913"/>
      <c r="G49" s="1913"/>
      <c r="H49" s="1917"/>
      <c r="I49" s="1914"/>
    </row>
    <row r="50" spans="1:9" ht="18" customHeight="1">
      <c r="A50" s="1918"/>
      <c r="B50" s="1911"/>
      <c r="C50" s="1911"/>
      <c r="D50" s="1913"/>
      <c r="E50" s="1911"/>
      <c r="F50" s="1913"/>
      <c r="G50" s="1913"/>
      <c r="H50" s="1913"/>
      <c r="I50" s="1914"/>
    </row>
    <row r="51" spans="1:9" ht="18" customHeight="1">
      <c r="A51" s="1919"/>
      <c r="B51" s="1911"/>
      <c r="C51" s="1911"/>
      <c r="D51" s="1913"/>
      <c r="E51" s="1911"/>
      <c r="F51" s="1917"/>
      <c r="G51" s="1913"/>
      <c r="H51" s="1913"/>
      <c r="I51" s="1914"/>
    </row>
    <row r="52" spans="1:9" ht="18" customHeight="1">
      <c r="A52" s="1915"/>
      <c r="B52" s="1911"/>
      <c r="C52" s="1911"/>
      <c r="D52" s="1913"/>
      <c r="E52" s="1911"/>
      <c r="F52" s="1916"/>
      <c r="G52" s="1913"/>
      <c r="H52" s="1913"/>
      <c r="I52" s="1914"/>
    </row>
    <row r="53" spans="1:9" ht="18" customHeight="1">
      <c r="A53" s="1915"/>
      <c r="B53" s="1911"/>
      <c r="C53" s="1911"/>
      <c r="D53" s="1913"/>
      <c r="E53" s="1911"/>
      <c r="F53" s="1920"/>
      <c r="G53" s="1913"/>
      <c r="H53" s="1917"/>
      <c r="I53" s="1914"/>
    </row>
    <row r="54" spans="1:9" ht="18" customHeight="1">
      <c r="A54" s="1918"/>
      <c r="B54" s="1911"/>
      <c r="C54" s="1912"/>
      <c r="D54" s="1921"/>
      <c r="E54" s="1912"/>
      <c r="G54" s="1912"/>
      <c r="H54" s="1921"/>
      <c r="I54" s="1914"/>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80" workbookViewId="0"/>
  </sheetViews>
  <sheetFormatPr defaultColWidth="8.765625" defaultRowHeight="12.5"/>
  <cols>
    <col min="1" max="1" width="40.07421875" style="621" customWidth="1"/>
    <col min="2" max="2" width="2.07421875" style="621" customWidth="1"/>
    <col min="3" max="3" width="17.07421875" style="798" customWidth="1"/>
    <col min="4" max="4" width="2.07421875" style="621" customWidth="1"/>
    <col min="5" max="5" width="15.4609375" style="621" customWidth="1"/>
    <col min="6" max="6" width="2.07421875" style="621" customWidth="1"/>
    <col min="7" max="7" width="16.07421875" style="621" customWidth="1"/>
    <col min="8" max="8" width="2.07421875" style="621" customWidth="1"/>
    <col min="9" max="9" width="15.53515625" style="622" customWidth="1"/>
    <col min="10" max="10" width="2.07421875" style="621" customWidth="1"/>
    <col min="11" max="11" width="16.4609375" style="622" bestFit="1" customWidth="1"/>
    <col min="12" max="12" width="2.07421875" style="621" customWidth="1"/>
    <col min="13" max="13" width="17.07421875" style="798" customWidth="1"/>
    <col min="14" max="14" width="1.765625" style="621" customWidth="1"/>
    <col min="15" max="15" width="1.07421875" style="621" customWidth="1"/>
    <col min="16" max="16" width="2" style="621" customWidth="1"/>
    <col min="17" max="17" width="15.4609375" style="621" customWidth="1"/>
    <col min="18" max="18" width="2.07421875" style="621" customWidth="1"/>
    <col min="19" max="19" width="16.4609375" style="621" bestFit="1" customWidth="1"/>
    <col min="20" max="20" width="11.765625" style="621" customWidth="1"/>
    <col min="21" max="21" width="12.4609375" style="621" customWidth="1"/>
    <col min="22" max="22" width="9.765625" style="621" bestFit="1" customWidth="1"/>
    <col min="23" max="16384" width="8.765625" style="621"/>
  </cols>
  <sheetData>
    <row r="1" spans="1:23" ht="15.5">
      <c r="A1" s="640" t="s">
        <v>885</v>
      </c>
    </row>
    <row r="2" spans="1:23" ht="15.5">
      <c r="A2" s="1582"/>
    </row>
    <row r="3" spans="1:23" ht="18">
      <c r="A3" s="620" t="s">
        <v>0</v>
      </c>
      <c r="S3" s="620" t="s">
        <v>390</v>
      </c>
    </row>
    <row r="4" spans="1:23" ht="18">
      <c r="A4" s="620" t="s">
        <v>183</v>
      </c>
      <c r="J4" s="621" t="s">
        <v>14</v>
      </c>
    </row>
    <row r="5" spans="1:23" ht="18">
      <c r="A5" s="620" t="s">
        <v>391</v>
      </c>
    </row>
    <row r="6" spans="1:23" ht="18">
      <c r="A6" s="1583" t="str">
        <f>'Cashflow Governmental'!A6</f>
        <v xml:space="preserve">FISCAL YEAR 2021-2022   </v>
      </c>
    </row>
    <row r="9" spans="1:23" ht="15.65" customHeight="1">
      <c r="C9" s="3510"/>
      <c r="D9" s="3882"/>
      <c r="E9" s="3958" t="s">
        <v>1398</v>
      </c>
      <c r="F9" s="3958"/>
      <c r="G9" s="3958"/>
      <c r="H9" s="1515"/>
      <c r="I9" s="3562" t="s">
        <v>1214</v>
      </c>
      <c r="J9" s="3563"/>
      <c r="K9" s="3563"/>
      <c r="L9" s="1512"/>
      <c r="M9" s="1512"/>
      <c r="N9" s="1512"/>
      <c r="O9" s="1517"/>
      <c r="P9" s="1512"/>
    </row>
    <row r="10" spans="1:23" ht="13">
      <c r="C10" s="1520" t="s">
        <v>120</v>
      </c>
      <c r="D10" s="1519"/>
      <c r="E10" s="3557"/>
      <c r="F10" s="3558"/>
      <c r="G10" s="3559"/>
      <c r="H10" s="1512"/>
      <c r="I10" s="3560"/>
      <c r="J10" s="3561"/>
      <c r="K10" s="3561"/>
      <c r="L10" s="1512"/>
      <c r="M10" s="1520" t="s">
        <v>120</v>
      </c>
      <c r="N10" s="1512"/>
      <c r="O10" s="1521"/>
      <c r="P10" s="1512"/>
      <c r="Q10" s="1518" t="s">
        <v>849</v>
      </c>
      <c r="R10" s="1518"/>
      <c r="S10" s="1518"/>
    </row>
    <row r="11" spans="1:23" ht="13">
      <c r="C11" s="1520" t="s">
        <v>392</v>
      </c>
      <c r="D11" s="1519"/>
      <c r="E11" s="3569" t="s">
        <v>6</v>
      </c>
      <c r="F11" s="1519"/>
      <c r="G11" s="1522" t="s">
        <v>1426</v>
      </c>
      <c r="H11" s="1512"/>
      <c r="I11" s="1519" t="s">
        <v>393</v>
      </c>
      <c r="J11" s="1514" t="s">
        <v>14</v>
      </c>
      <c r="K11" s="1519" t="str">
        <f>G11</f>
        <v>1 MONTH ENDED</v>
      </c>
      <c r="L11" s="1512"/>
      <c r="M11" s="1520" t="s">
        <v>392</v>
      </c>
      <c r="N11" s="1512"/>
      <c r="O11" s="1521"/>
      <c r="P11" s="1512"/>
      <c r="Q11" s="1519" t="s">
        <v>393</v>
      </c>
      <c r="R11" s="1514" t="s">
        <v>14</v>
      </c>
      <c r="S11" s="1519" t="str">
        <f>K11</f>
        <v>1 MONTH ENDED</v>
      </c>
    </row>
    <row r="12" spans="1:23" ht="13">
      <c r="A12" s="1584" t="s">
        <v>394</v>
      </c>
      <c r="C12" s="3511" t="s">
        <v>1424</v>
      </c>
      <c r="D12" s="2149"/>
      <c r="E12" s="3570" t="s">
        <v>123</v>
      </c>
      <c r="F12" s="2149"/>
      <c r="G12" s="1585" t="s">
        <v>1425</v>
      </c>
      <c r="H12" s="1512"/>
      <c r="I12" s="1585" t="s">
        <v>123</v>
      </c>
      <c r="J12" s="1512"/>
      <c r="K12" s="1513" t="str">
        <f>G12</f>
        <v>APRIL 30, 2021</v>
      </c>
      <c r="L12" s="1512"/>
      <c r="M12" s="1513" t="str">
        <f>K12</f>
        <v>APRIL 30, 2021</v>
      </c>
      <c r="N12" s="1512"/>
      <c r="O12" s="1521"/>
      <c r="P12" s="1512"/>
      <c r="Q12" s="1516" t="str">
        <f>I12</f>
        <v>APRIL</v>
      </c>
      <c r="R12" s="1512"/>
      <c r="S12" s="1513" t="str">
        <f>M12</f>
        <v>APRIL 30, 2021</v>
      </c>
    </row>
    <row r="13" spans="1:23">
      <c r="K13" s="1541"/>
      <c r="O13" s="1586"/>
    </row>
    <row r="14" spans="1:23" ht="13">
      <c r="A14" s="623" t="s">
        <v>395</v>
      </c>
      <c r="K14" s="1541"/>
      <c r="O14" s="1586"/>
      <c r="Q14" s="622"/>
    </row>
    <row r="15" spans="1:23" ht="12" customHeight="1">
      <c r="A15" s="623"/>
      <c r="K15" s="1541"/>
      <c r="M15" s="798" t="s">
        <v>14</v>
      </c>
      <c r="O15" s="1586"/>
      <c r="Q15" s="622"/>
    </row>
    <row r="16" spans="1:23">
      <c r="A16" s="621" t="s">
        <v>896</v>
      </c>
      <c r="B16" s="622"/>
      <c r="C16" s="3504">
        <v>9992174</v>
      </c>
      <c r="D16" s="1540"/>
      <c r="E16" s="3504">
        <v>0</v>
      </c>
      <c r="F16" s="1540"/>
      <c r="G16" s="3504">
        <f>E16</f>
        <v>0</v>
      </c>
      <c r="H16" s="3504"/>
      <c r="I16" s="3504">
        <v>785635</v>
      </c>
      <c r="J16" s="1540"/>
      <c r="K16" s="3504">
        <v>785635</v>
      </c>
      <c r="L16" s="1540" t="s">
        <v>14</v>
      </c>
      <c r="M16" s="3504">
        <f>ROUND(SUM(C16)-SUM(K16)+SUM(G16),0)</f>
        <v>9206539</v>
      </c>
      <c r="N16" s="636"/>
      <c r="O16" s="1587"/>
      <c r="P16" s="622"/>
      <c r="Q16" s="3504">
        <v>82145</v>
      </c>
      <c r="R16" s="3504"/>
      <c r="S16" s="3504">
        <v>82145</v>
      </c>
      <c r="T16" s="625"/>
      <c r="U16" s="1540"/>
      <c r="V16" s="2143"/>
      <c r="W16" s="716"/>
    </row>
    <row r="17" spans="1:23">
      <c r="C17" s="799"/>
      <c r="D17" s="714"/>
      <c r="E17" s="627"/>
      <c r="F17" s="714"/>
      <c r="G17" s="799"/>
      <c r="H17" s="636"/>
      <c r="I17" s="627"/>
      <c r="J17" s="636"/>
      <c r="K17" s="1541"/>
      <c r="L17" s="636"/>
      <c r="M17" s="799"/>
      <c r="N17" s="636"/>
      <c r="O17" s="1587"/>
      <c r="P17" s="636"/>
      <c r="Q17" s="627"/>
      <c r="R17" s="636"/>
      <c r="S17" s="1541"/>
      <c r="U17" s="627"/>
      <c r="V17" s="715"/>
      <c r="W17" s="716"/>
    </row>
    <row r="18" spans="1:23">
      <c r="A18" s="621" t="s">
        <v>396</v>
      </c>
      <c r="C18" s="799"/>
      <c r="D18" s="714"/>
      <c r="E18" s="622"/>
      <c r="F18" s="714"/>
      <c r="G18" s="799"/>
      <c r="H18" s="636"/>
      <c r="J18" s="622"/>
      <c r="K18" s="1541"/>
      <c r="L18" s="636"/>
      <c r="M18" s="799"/>
      <c r="N18" s="636"/>
      <c r="O18" s="1587"/>
      <c r="P18" s="636"/>
      <c r="Q18" s="622"/>
      <c r="R18" s="622"/>
      <c r="S18" s="1541"/>
      <c r="U18" s="622"/>
      <c r="V18" s="715"/>
      <c r="W18" s="625"/>
    </row>
    <row r="19" spans="1:23" ht="12" customHeight="1">
      <c r="A19" s="621" t="s">
        <v>897</v>
      </c>
      <c r="C19" s="3506">
        <v>1321445</v>
      </c>
      <c r="D19" s="1542"/>
      <c r="E19" s="3506">
        <v>0</v>
      </c>
      <c r="F19" s="1542"/>
      <c r="G19" s="3506">
        <f>E19</f>
        <v>0</v>
      </c>
      <c r="H19" s="3506"/>
      <c r="I19" s="3506">
        <v>0</v>
      </c>
      <c r="J19" s="1542"/>
      <c r="K19" s="3506">
        <v>0</v>
      </c>
      <c r="L19" s="1542" t="s">
        <v>14</v>
      </c>
      <c r="M19" s="3506">
        <f>ROUND(SUM(C19)-SUM(K19)+SUM(G19),0)</f>
        <v>1321445</v>
      </c>
      <c r="N19" s="636"/>
      <c r="O19" s="1587"/>
      <c r="P19" s="636" t="s">
        <v>14</v>
      </c>
      <c r="Q19" s="3506">
        <v>0</v>
      </c>
      <c r="R19" s="3506"/>
      <c r="S19" s="3506">
        <v>0</v>
      </c>
      <c r="T19" s="625"/>
      <c r="U19" s="799"/>
      <c r="V19" s="715"/>
      <c r="W19" s="716"/>
    </row>
    <row r="20" spans="1:23">
      <c r="A20" s="621" t="s">
        <v>397</v>
      </c>
      <c r="C20" s="3506">
        <v>0</v>
      </c>
      <c r="D20" s="1542"/>
      <c r="E20" s="3506">
        <v>0</v>
      </c>
      <c r="F20" s="1542"/>
      <c r="G20" s="3506">
        <f t="shared" ref="G20:G63" si="0">E20</f>
        <v>0</v>
      </c>
      <c r="H20" s="3506"/>
      <c r="I20" s="3506">
        <v>0</v>
      </c>
      <c r="J20" s="1542"/>
      <c r="K20" s="3506">
        <v>0</v>
      </c>
      <c r="L20" s="1542"/>
      <c r="M20" s="3506">
        <f>ROUND(SUM(C20)-SUM(K20)+SUM(G20),0)</f>
        <v>0</v>
      </c>
      <c r="N20" s="636"/>
      <c r="O20" s="1587"/>
      <c r="P20" s="636"/>
      <c r="Q20" s="3506">
        <v>0</v>
      </c>
      <c r="R20" s="3506"/>
      <c r="S20" s="3506">
        <v>0</v>
      </c>
      <c r="T20" s="625"/>
      <c r="U20" s="799"/>
      <c r="V20" s="715"/>
      <c r="W20" s="716"/>
    </row>
    <row r="21" spans="1:23">
      <c r="A21" s="621" t="s">
        <v>1207</v>
      </c>
      <c r="C21" s="3506">
        <v>277661899</v>
      </c>
      <c r="D21" s="1542"/>
      <c r="E21" s="3506">
        <v>0</v>
      </c>
      <c r="F21" s="1542"/>
      <c r="G21" s="3506">
        <f t="shared" si="0"/>
        <v>0</v>
      </c>
      <c r="H21" s="3506"/>
      <c r="I21" s="3506">
        <v>9125472</v>
      </c>
      <c r="J21" s="1542"/>
      <c r="K21" s="3506">
        <v>9125472</v>
      </c>
      <c r="L21" s="1542" t="s">
        <v>14</v>
      </c>
      <c r="M21" s="3506">
        <f>ROUND(SUM(C21)-SUM(K21)+SUM(G21),0)</f>
        <v>268536427</v>
      </c>
      <c r="N21" s="636"/>
      <c r="O21" s="1587"/>
      <c r="P21" s="636"/>
      <c r="Q21" s="3506">
        <v>1133273</v>
      </c>
      <c r="R21" s="3506"/>
      <c r="S21" s="3506">
        <v>1133273</v>
      </c>
      <c r="T21" s="625"/>
      <c r="U21" s="799"/>
      <c r="V21" s="715"/>
      <c r="W21" s="716"/>
    </row>
    <row r="22" spans="1:23">
      <c r="A22" s="621" t="s">
        <v>398</v>
      </c>
      <c r="C22" s="3506">
        <v>11083955</v>
      </c>
      <c r="D22" s="1542"/>
      <c r="E22" s="3506">
        <v>0</v>
      </c>
      <c r="F22" s="1542"/>
      <c r="G22" s="3506">
        <f t="shared" si="0"/>
        <v>0</v>
      </c>
      <c r="H22" s="3506"/>
      <c r="I22" s="3506">
        <v>163906</v>
      </c>
      <c r="J22" s="1542"/>
      <c r="K22" s="3506">
        <v>163906</v>
      </c>
      <c r="L22" s="1542" t="s">
        <v>14</v>
      </c>
      <c r="M22" s="3506">
        <f>ROUND(SUM(C22)-SUM(K22)+SUM(G22),0)</f>
        <v>10920049</v>
      </c>
      <c r="N22" s="636"/>
      <c r="O22" s="1587"/>
      <c r="P22" s="636"/>
      <c r="Q22" s="3506">
        <v>23580</v>
      </c>
      <c r="R22" s="3506"/>
      <c r="S22" s="3506">
        <v>23580</v>
      </c>
      <c r="T22" s="625"/>
      <c r="U22" s="799"/>
      <c r="V22" s="715"/>
      <c r="W22" s="716"/>
    </row>
    <row r="23" spans="1:23">
      <c r="A23" s="621" t="s">
        <v>898</v>
      </c>
      <c r="C23" s="3506">
        <v>36701555</v>
      </c>
      <c r="D23" s="1542"/>
      <c r="E23" s="3506">
        <v>0</v>
      </c>
      <c r="F23" s="1542"/>
      <c r="G23" s="3506">
        <f t="shared" si="0"/>
        <v>0</v>
      </c>
      <c r="H23" s="3506"/>
      <c r="I23" s="3506">
        <v>165000</v>
      </c>
      <c r="J23" s="1542"/>
      <c r="K23" s="3506">
        <v>165000</v>
      </c>
      <c r="L23" s="1542" t="s">
        <v>14</v>
      </c>
      <c r="M23" s="3506">
        <f>ROUND(SUM(C23)-SUM(K23)+SUM(G23),0)</f>
        <v>36536555</v>
      </c>
      <c r="N23" s="636"/>
      <c r="O23" s="1587"/>
      <c r="P23" s="636"/>
      <c r="Q23" s="3506">
        <v>8375</v>
      </c>
      <c r="R23" s="3506"/>
      <c r="S23" s="3506">
        <v>8375</v>
      </c>
      <c r="T23" s="625"/>
      <c r="U23" s="799"/>
      <c r="V23" s="715"/>
      <c r="W23" s="716"/>
    </row>
    <row r="24" spans="1:23">
      <c r="C24" s="3506"/>
      <c r="D24" s="799"/>
      <c r="E24" s="3505"/>
      <c r="F24" s="799"/>
      <c r="G24" s="3506" t="s">
        <v>14</v>
      </c>
      <c r="H24" s="3505"/>
      <c r="I24" s="3505"/>
      <c r="J24" s="799"/>
      <c r="K24" s="3505"/>
      <c r="L24" s="799"/>
      <c r="M24" s="3506" t="s">
        <v>14</v>
      </c>
      <c r="N24" s="636"/>
      <c r="O24" s="1587"/>
      <c r="P24" s="636"/>
      <c r="Q24" s="3506"/>
      <c r="R24" s="3506"/>
      <c r="S24" s="3506"/>
      <c r="U24" s="627"/>
      <c r="V24" s="715"/>
      <c r="W24" s="716"/>
    </row>
    <row r="25" spans="1:23">
      <c r="A25" s="621" t="s">
        <v>805</v>
      </c>
      <c r="C25" s="3506"/>
      <c r="D25" s="799"/>
      <c r="E25" s="3505"/>
      <c r="F25" s="799"/>
      <c r="G25" s="3506" t="s">
        <v>14</v>
      </c>
      <c r="H25" s="3505"/>
      <c r="I25" s="3505"/>
      <c r="J25" s="799"/>
      <c r="K25" s="3505"/>
      <c r="L25" s="799"/>
      <c r="M25" s="3506" t="s">
        <v>14</v>
      </c>
      <c r="N25" s="636"/>
      <c r="O25" s="1587"/>
      <c r="P25" s="636"/>
      <c r="Q25" s="3506"/>
      <c r="R25" s="3506"/>
      <c r="S25" s="3506"/>
      <c r="U25" s="627"/>
      <c r="V25" s="715"/>
      <c r="W25" s="625"/>
    </row>
    <row r="26" spans="1:23">
      <c r="A26" s="621" t="s">
        <v>914</v>
      </c>
      <c r="C26" s="3506">
        <v>1022456</v>
      </c>
      <c r="D26" s="1542"/>
      <c r="E26" s="3506">
        <v>0</v>
      </c>
      <c r="F26" s="1542"/>
      <c r="G26" s="3506">
        <f t="shared" si="0"/>
        <v>0</v>
      </c>
      <c r="H26" s="3506"/>
      <c r="I26" s="3506">
        <v>263713</v>
      </c>
      <c r="J26" s="1542"/>
      <c r="K26" s="3506">
        <v>263713</v>
      </c>
      <c r="L26" s="1542"/>
      <c r="M26" s="3506">
        <f>ROUND(SUM(C26)-SUM(K26)+SUM(G26),0)</f>
        <v>758743</v>
      </c>
      <c r="N26" s="636"/>
      <c r="O26" s="1587"/>
      <c r="P26" s="636"/>
      <c r="Q26" s="3506">
        <v>22550</v>
      </c>
      <c r="R26" s="3506"/>
      <c r="S26" s="3506">
        <v>22550</v>
      </c>
      <c r="T26" s="625"/>
      <c r="U26" s="799"/>
      <c r="V26" s="715"/>
      <c r="W26" s="716"/>
    </row>
    <row r="27" spans="1:23">
      <c r="C27" s="3506"/>
      <c r="D27" s="799"/>
      <c r="E27" s="3505"/>
      <c r="F27" s="799"/>
      <c r="G27" s="3506" t="s">
        <v>14</v>
      </c>
      <c r="H27" s="3505"/>
      <c r="I27" s="3505"/>
      <c r="J27" s="799"/>
      <c r="K27" s="3505"/>
      <c r="L27" s="799"/>
      <c r="M27" s="3506" t="s">
        <v>14</v>
      </c>
      <c r="N27" s="636"/>
      <c r="O27" s="1587"/>
      <c r="P27" s="636"/>
      <c r="Q27" s="3506"/>
      <c r="R27" s="3506"/>
      <c r="S27" s="3506"/>
      <c r="U27" s="627"/>
      <c r="V27" s="715"/>
      <c r="W27" s="716"/>
    </row>
    <row r="28" spans="1:23">
      <c r="A28" s="621" t="s">
        <v>1157</v>
      </c>
      <c r="C28" s="3506"/>
      <c r="D28" s="799"/>
      <c r="E28" s="3505"/>
      <c r="F28" s="799"/>
      <c r="G28" s="3506" t="s">
        <v>14</v>
      </c>
      <c r="H28" s="3505"/>
      <c r="I28" s="3505"/>
      <c r="J28" s="799"/>
      <c r="K28" s="3505"/>
      <c r="L28" s="799"/>
      <c r="M28" s="3506" t="s">
        <v>14</v>
      </c>
      <c r="N28" s="636"/>
      <c r="O28" s="1587"/>
      <c r="P28" s="636"/>
      <c r="Q28" s="3506"/>
      <c r="R28" s="3506"/>
      <c r="S28" s="3506"/>
      <c r="U28" s="627"/>
      <c r="V28" s="715"/>
    </row>
    <row r="29" spans="1:23">
      <c r="A29" s="621" t="s">
        <v>399</v>
      </c>
      <c r="C29" s="3506">
        <v>0</v>
      </c>
      <c r="D29" s="1542"/>
      <c r="E29" s="3506">
        <v>0</v>
      </c>
      <c r="F29" s="1542"/>
      <c r="G29" s="3506">
        <f t="shared" si="0"/>
        <v>0</v>
      </c>
      <c r="H29" s="3506"/>
      <c r="I29" s="3506">
        <v>0</v>
      </c>
      <c r="J29" s="1542"/>
      <c r="K29" s="3506">
        <v>0</v>
      </c>
      <c r="L29" s="1542"/>
      <c r="M29" s="3506">
        <f>ROUND(SUM(C29)-SUM(K29)+SUM(G29),0)</f>
        <v>0</v>
      </c>
      <c r="N29" s="636"/>
      <c r="O29" s="1587"/>
      <c r="P29" s="636"/>
      <c r="Q29" s="3506">
        <v>0</v>
      </c>
      <c r="R29" s="3506"/>
      <c r="S29" s="3506">
        <v>0</v>
      </c>
      <c r="T29" s="625"/>
      <c r="U29" s="799"/>
      <c r="V29" s="715"/>
      <c r="W29" s="716"/>
    </row>
    <row r="30" spans="1:23">
      <c r="A30" s="621" t="s">
        <v>899</v>
      </c>
      <c r="C30" s="3506">
        <v>4267512</v>
      </c>
      <c r="D30" s="1542"/>
      <c r="E30" s="3506">
        <v>0</v>
      </c>
      <c r="F30" s="1542"/>
      <c r="G30" s="3506">
        <f t="shared" si="0"/>
        <v>0</v>
      </c>
      <c r="H30" s="3506"/>
      <c r="I30" s="3506">
        <v>25000</v>
      </c>
      <c r="J30" s="1542" t="s">
        <v>14</v>
      </c>
      <c r="K30" s="3506">
        <v>25000</v>
      </c>
      <c r="L30" s="1542"/>
      <c r="M30" s="3506">
        <f>ROUND(SUM(C30)-SUM(K30)+SUM(G30),0)</f>
        <v>4242512</v>
      </c>
      <c r="N30" s="636"/>
      <c r="O30" s="1587"/>
      <c r="P30" s="636"/>
      <c r="Q30" s="3506">
        <v>1250</v>
      </c>
      <c r="R30" s="3506"/>
      <c r="S30" s="3506">
        <v>1250</v>
      </c>
      <c r="T30" s="625" t="s">
        <v>14</v>
      </c>
      <c r="U30" s="799" t="s">
        <v>14</v>
      </c>
      <c r="V30" s="715"/>
      <c r="W30" s="716"/>
    </row>
    <row r="31" spans="1:23">
      <c r="A31" s="621" t="s">
        <v>400</v>
      </c>
      <c r="C31" s="3506">
        <v>5538761</v>
      </c>
      <c r="D31" s="1542"/>
      <c r="E31" s="3506">
        <v>0</v>
      </c>
      <c r="F31" s="1542"/>
      <c r="G31" s="3506">
        <f t="shared" si="0"/>
        <v>0</v>
      </c>
      <c r="H31" s="3506"/>
      <c r="I31" s="3506">
        <v>715000</v>
      </c>
      <c r="J31" s="1542"/>
      <c r="K31" s="3506">
        <v>715000</v>
      </c>
      <c r="L31" s="1542"/>
      <c r="M31" s="3506">
        <f>ROUND(SUM(C31)-SUM(K31)+SUM(G31),0)</f>
        <v>4823761</v>
      </c>
      <c r="N31" s="636"/>
      <c r="O31" s="1587"/>
      <c r="P31" s="636"/>
      <c r="Q31" s="3506">
        <v>42875</v>
      </c>
      <c r="R31" s="3506"/>
      <c r="S31" s="3506">
        <v>42875</v>
      </c>
      <c r="T31" s="625" t="s">
        <v>14</v>
      </c>
      <c r="U31" s="799" t="s">
        <v>14</v>
      </c>
      <c r="V31" s="715"/>
      <c r="W31" s="716"/>
    </row>
    <row r="32" spans="1:23">
      <c r="C32" s="3506"/>
      <c r="D32" s="799"/>
      <c r="E32" s="3505"/>
      <c r="F32" s="799"/>
      <c r="G32" s="3506" t="s">
        <v>14</v>
      </c>
      <c r="H32" s="3505"/>
      <c r="I32" s="3505"/>
      <c r="J32" s="799"/>
      <c r="K32" s="3505"/>
      <c r="L32" s="799"/>
      <c r="M32" s="3506" t="s">
        <v>14</v>
      </c>
      <c r="N32" s="636"/>
      <c r="O32" s="1587"/>
      <c r="P32" s="636"/>
      <c r="Q32" s="3506"/>
      <c r="R32" s="3506"/>
      <c r="S32" s="3506"/>
      <c r="T32" s="625" t="s">
        <v>14</v>
      </c>
      <c r="U32" s="627"/>
      <c r="V32" s="715"/>
      <c r="W32" s="716"/>
    </row>
    <row r="33" spans="1:24">
      <c r="A33" s="621" t="s">
        <v>401</v>
      </c>
      <c r="C33" s="3506"/>
      <c r="D33" s="799"/>
      <c r="E33" s="3505"/>
      <c r="F33" s="799"/>
      <c r="G33" s="3506" t="s">
        <v>14</v>
      </c>
      <c r="H33" s="3505"/>
      <c r="I33" s="3505"/>
      <c r="J33" s="799"/>
      <c r="K33" s="3505"/>
      <c r="L33" s="799"/>
      <c r="M33" s="3506" t="s">
        <v>14</v>
      </c>
      <c r="N33" s="636"/>
      <c r="O33" s="1587"/>
      <c r="P33" s="636"/>
      <c r="Q33" s="3506"/>
      <c r="R33" s="3506"/>
      <c r="S33" s="3506"/>
      <c r="U33" s="627"/>
      <c r="V33" s="715"/>
      <c r="W33" s="625"/>
    </row>
    <row r="34" spans="1:24">
      <c r="A34" s="621" t="s">
        <v>1158</v>
      </c>
      <c r="C34" s="3506">
        <v>2692870</v>
      </c>
      <c r="D34" s="1542"/>
      <c r="E34" s="3506">
        <v>0</v>
      </c>
      <c r="F34" s="1542"/>
      <c r="G34" s="3506">
        <f t="shared" si="0"/>
        <v>0</v>
      </c>
      <c r="H34" s="3506"/>
      <c r="I34" s="3506">
        <v>202816</v>
      </c>
      <c r="J34" s="1542"/>
      <c r="K34" s="3506">
        <v>202816</v>
      </c>
      <c r="L34" s="1542" t="s">
        <v>14</v>
      </c>
      <c r="M34" s="3506">
        <f>ROUND(SUM(C34)-SUM(K34)+SUM(G34),0)</f>
        <v>2490054</v>
      </c>
      <c r="N34" s="636"/>
      <c r="O34" s="1587"/>
      <c r="P34" s="636"/>
      <c r="Q34" s="3506">
        <v>11571</v>
      </c>
      <c r="R34" s="3506" t="s">
        <v>14</v>
      </c>
      <c r="S34" s="3506">
        <v>11571</v>
      </c>
      <c r="T34" s="625"/>
      <c r="U34" s="799"/>
      <c r="V34" s="715"/>
      <c r="W34" s="716"/>
    </row>
    <row r="35" spans="1:24">
      <c r="A35" s="621" t="s">
        <v>402</v>
      </c>
      <c r="C35" s="3506">
        <v>83003304</v>
      </c>
      <c r="D35" s="1542"/>
      <c r="E35" s="3506">
        <v>0</v>
      </c>
      <c r="F35" s="1542"/>
      <c r="G35" s="3506">
        <f t="shared" si="0"/>
        <v>0</v>
      </c>
      <c r="H35" s="3506"/>
      <c r="I35" s="3506">
        <v>7383811</v>
      </c>
      <c r="J35" s="1542"/>
      <c r="K35" s="3506">
        <v>7383811</v>
      </c>
      <c r="L35" s="1542"/>
      <c r="M35" s="3506">
        <f>ROUND(SUM(C35)-SUM(K35)+SUM(G35),0)</f>
        <v>75619493</v>
      </c>
      <c r="N35" s="636"/>
      <c r="O35" s="1587"/>
      <c r="P35" s="636"/>
      <c r="Q35" s="3506">
        <v>666497</v>
      </c>
      <c r="R35" s="3506"/>
      <c r="S35" s="3506">
        <v>666497</v>
      </c>
      <c r="T35" s="625"/>
      <c r="U35" s="799"/>
      <c r="V35" s="715"/>
      <c r="W35" s="716"/>
      <c r="X35" s="625"/>
    </row>
    <row r="36" spans="1:24">
      <c r="C36" s="3506"/>
      <c r="D36" s="799"/>
      <c r="E36" s="3505"/>
      <c r="F36" s="799"/>
      <c r="G36" s="3506" t="s">
        <v>14</v>
      </c>
      <c r="H36" s="3505"/>
      <c r="I36" s="3505"/>
      <c r="J36" s="799"/>
      <c r="K36" s="3505"/>
      <c r="L36" s="799"/>
      <c r="M36" s="3506" t="s">
        <v>14</v>
      </c>
      <c r="N36" s="636"/>
      <c r="O36" s="1587"/>
      <c r="P36" s="636"/>
      <c r="Q36" s="3506"/>
      <c r="R36" s="3506"/>
      <c r="S36" s="3506"/>
      <c r="U36" s="627"/>
      <c r="V36" s="715"/>
      <c r="W36" s="716"/>
    </row>
    <row r="37" spans="1:24">
      <c r="A37" s="621" t="s">
        <v>403</v>
      </c>
      <c r="C37" s="3506"/>
      <c r="D37" s="799"/>
      <c r="E37" s="3505"/>
      <c r="F37" s="799"/>
      <c r="G37" s="3506" t="s">
        <v>14</v>
      </c>
      <c r="H37" s="3505"/>
      <c r="I37" s="3505"/>
      <c r="J37" s="799"/>
      <c r="K37" s="3505"/>
      <c r="L37" s="799"/>
      <c r="M37" s="3506" t="s">
        <v>14</v>
      </c>
      <c r="N37" s="636"/>
      <c r="O37" s="1587"/>
      <c r="P37" s="636"/>
      <c r="Q37" s="3506"/>
      <c r="R37" s="3506"/>
      <c r="S37" s="3506"/>
      <c r="U37" s="1828"/>
      <c r="V37" s="715"/>
      <c r="W37" s="625"/>
    </row>
    <row r="38" spans="1:24">
      <c r="A38" s="621" t="s">
        <v>1208</v>
      </c>
      <c r="C38" s="3506">
        <v>4115000</v>
      </c>
      <c r="D38" s="1542"/>
      <c r="E38" s="3506">
        <v>0</v>
      </c>
      <c r="F38" s="1542"/>
      <c r="G38" s="3506">
        <f t="shared" si="0"/>
        <v>0</v>
      </c>
      <c r="H38" s="3506"/>
      <c r="I38" s="3506">
        <v>0</v>
      </c>
      <c r="J38" s="1542"/>
      <c r="K38" s="3506">
        <v>0</v>
      </c>
      <c r="L38" s="1542"/>
      <c r="M38" s="3506">
        <f>ROUND(SUM(C38)-SUM(K38)+SUM(G38),0)</f>
        <v>4115000</v>
      </c>
      <c r="N38" s="636"/>
      <c r="O38" s="1587"/>
      <c r="P38" s="636"/>
      <c r="Q38" s="3506">
        <v>0</v>
      </c>
      <c r="R38" s="3506"/>
      <c r="S38" s="3506">
        <v>0</v>
      </c>
      <c r="T38" s="625"/>
      <c r="U38" s="799"/>
      <c r="V38" s="715"/>
      <c r="W38" s="716"/>
    </row>
    <row r="39" spans="1:24">
      <c r="A39" s="621" t="s">
        <v>900</v>
      </c>
      <c r="C39" s="3506">
        <v>1795000</v>
      </c>
      <c r="D39" s="1542"/>
      <c r="E39" s="3506">
        <v>0</v>
      </c>
      <c r="F39" s="1542"/>
      <c r="G39" s="3506">
        <f t="shared" si="0"/>
        <v>0</v>
      </c>
      <c r="H39" s="3506"/>
      <c r="I39" s="3506">
        <v>0</v>
      </c>
      <c r="J39" s="1542"/>
      <c r="K39" s="3506">
        <v>0</v>
      </c>
      <c r="L39" s="1542"/>
      <c r="M39" s="3506">
        <f>ROUND(SUM(C39)-SUM(K39)+SUM(G39),0)</f>
        <v>1795000</v>
      </c>
      <c r="N39" s="636"/>
      <c r="O39" s="1587"/>
      <c r="P39" s="636"/>
      <c r="Q39" s="3506">
        <v>0</v>
      </c>
      <c r="R39" s="3506"/>
      <c r="S39" s="3506">
        <v>0</v>
      </c>
      <c r="T39" s="625"/>
      <c r="U39" s="799"/>
      <c r="V39" s="715"/>
      <c r="W39" s="716"/>
    </row>
    <row r="40" spans="1:24">
      <c r="C40" s="3506"/>
      <c r="D40" s="799"/>
      <c r="E40" s="3505"/>
      <c r="F40" s="799"/>
      <c r="G40" s="3506" t="s">
        <v>14</v>
      </c>
      <c r="H40" s="3505"/>
      <c r="I40" s="3505"/>
      <c r="J40" s="799"/>
      <c r="K40" s="3505"/>
      <c r="L40" s="799"/>
      <c r="M40" s="3506" t="s">
        <v>14</v>
      </c>
      <c r="N40" s="636"/>
      <c r="O40" s="1587"/>
      <c r="P40" s="636"/>
      <c r="Q40" s="3506"/>
      <c r="R40" s="3506"/>
      <c r="S40" s="3506"/>
      <c r="U40" s="1828"/>
      <c r="V40" s="715"/>
      <c r="W40" s="716"/>
    </row>
    <row r="41" spans="1:24">
      <c r="A41" s="621" t="s">
        <v>901</v>
      </c>
      <c r="C41" s="3506">
        <v>0</v>
      </c>
      <c r="D41" s="1542"/>
      <c r="E41" s="3506">
        <v>0</v>
      </c>
      <c r="F41" s="1542"/>
      <c r="G41" s="3506">
        <f t="shared" si="0"/>
        <v>0</v>
      </c>
      <c r="H41" s="3506"/>
      <c r="I41" s="3506">
        <v>0</v>
      </c>
      <c r="J41" s="1542"/>
      <c r="K41" s="3506">
        <v>0</v>
      </c>
      <c r="L41" s="1542"/>
      <c r="M41" s="3506">
        <f>ROUND(SUM(C41)-SUM(K41)+SUM(G41),0)</f>
        <v>0</v>
      </c>
      <c r="N41" s="636"/>
      <c r="O41" s="1587"/>
      <c r="P41" s="636"/>
      <c r="Q41" s="3506">
        <v>0</v>
      </c>
      <c r="R41" s="3506"/>
      <c r="S41" s="3506">
        <v>0</v>
      </c>
      <c r="T41" s="625"/>
      <c r="U41" s="799"/>
      <c r="V41" s="715"/>
      <c r="W41" s="716"/>
    </row>
    <row r="42" spans="1:24">
      <c r="C42" s="3506"/>
      <c r="D42" s="1542"/>
      <c r="E42" s="3506"/>
      <c r="F42" s="1542"/>
      <c r="G42" s="3506" t="s">
        <v>14</v>
      </c>
      <c r="H42" s="3506"/>
      <c r="I42" s="3506"/>
      <c r="J42" s="1542"/>
      <c r="K42" s="3506"/>
      <c r="L42" s="1542"/>
      <c r="M42" s="3506" t="s">
        <v>14</v>
      </c>
      <c r="N42" s="636"/>
      <c r="O42" s="1587"/>
      <c r="P42" s="636"/>
      <c r="Q42" s="3506"/>
      <c r="R42" s="3506"/>
      <c r="S42" s="3506"/>
      <c r="U42" s="1828"/>
      <c r="V42" s="715"/>
      <c r="W42" s="716"/>
    </row>
    <row r="43" spans="1:24">
      <c r="A43" s="621" t="s">
        <v>404</v>
      </c>
      <c r="C43" s="3506">
        <v>13485946</v>
      </c>
      <c r="D43" s="1542"/>
      <c r="E43" s="3506">
        <v>0</v>
      </c>
      <c r="F43" s="1542"/>
      <c r="G43" s="3506">
        <f t="shared" si="0"/>
        <v>0</v>
      </c>
      <c r="H43" s="3506"/>
      <c r="I43" s="3506">
        <v>833700</v>
      </c>
      <c r="J43" s="1542"/>
      <c r="K43" s="3506">
        <v>833700</v>
      </c>
      <c r="L43" s="1542"/>
      <c r="M43" s="3506">
        <f>ROUND(SUM(C43)-SUM(K43)+SUM(G43),0)</f>
        <v>12652246</v>
      </c>
      <c r="N43" s="636"/>
      <c r="O43" s="1587"/>
      <c r="P43" s="636"/>
      <c r="Q43" s="3506">
        <v>107528</v>
      </c>
      <c r="R43" s="3506"/>
      <c r="S43" s="3506">
        <v>107528</v>
      </c>
      <c r="T43" s="625"/>
      <c r="U43" s="799"/>
      <c r="V43" s="715"/>
      <c r="W43" s="716"/>
    </row>
    <row r="44" spans="1:24">
      <c r="C44" s="3506"/>
      <c r="D44" s="1542"/>
      <c r="E44" s="3506"/>
      <c r="F44" s="1542"/>
      <c r="G44" s="3506" t="s">
        <v>14</v>
      </c>
      <c r="H44" s="3506"/>
      <c r="I44" s="3506"/>
      <c r="J44" s="1542"/>
      <c r="K44" s="3506"/>
      <c r="L44" s="1542"/>
      <c r="M44" s="3506" t="s">
        <v>14</v>
      </c>
      <c r="N44" s="636"/>
      <c r="O44" s="1587"/>
      <c r="P44" s="636"/>
      <c r="Q44" s="3506"/>
      <c r="R44" s="3506"/>
      <c r="S44" s="3506"/>
      <c r="U44" s="769"/>
      <c r="V44" s="715"/>
      <c r="W44" s="716"/>
    </row>
    <row r="45" spans="1:24">
      <c r="A45" s="621" t="s">
        <v>405</v>
      </c>
      <c r="C45" s="3506">
        <v>0</v>
      </c>
      <c r="D45" s="1542"/>
      <c r="E45" s="3506">
        <v>0</v>
      </c>
      <c r="F45" s="1542"/>
      <c r="G45" s="3506">
        <f t="shared" si="0"/>
        <v>0</v>
      </c>
      <c r="H45" s="3506"/>
      <c r="I45" s="3506">
        <v>0</v>
      </c>
      <c r="J45" s="1542"/>
      <c r="K45" s="3506">
        <v>0</v>
      </c>
      <c r="L45" s="1542"/>
      <c r="M45" s="3506">
        <f>ROUND(SUM(C45)-SUM(K45)+SUM(G45),0)</f>
        <v>0</v>
      </c>
      <c r="N45" s="636"/>
      <c r="O45" s="1587"/>
      <c r="P45" s="636"/>
      <c r="Q45" s="3506">
        <v>0</v>
      </c>
      <c r="R45" s="3506"/>
      <c r="S45" s="3506">
        <v>0</v>
      </c>
      <c r="T45" s="625"/>
      <c r="U45" s="799"/>
      <c r="V45" s="715"/>
      <c r="W45" s="716"/>
    </row>
    <row r="46" spans="1:24">
      <c r="C46" s="3506"/>
      <c r="D46" s="1542"/>
      <c r="E46" s="3506"/>
      <c r="F46" s="1542"/>
      <c r="G46" s="3506" t="s">
        <v>14</v>
      </c>
      <c r="H46" s="3506"/>
      <c r="I46" s="3506"/>
      <c r="J46" s="1542"/>
      <c r="K46" s="3506"/>
      <c r="L46" s="1542"/>
      <c r="M46" s="3506" t="s">
        <v>14</v>
      </c>
      <c r="N46" s="636"/>
      <c r="O46" s="1587"/>
      <c r="P46" s="636"/>
      <c r="Q46" s="3506"/>
      <c r="R46" s="3506"/>
      <c r="S46" s="3506"/>
      <c r="U46" s="627"/>
      <c r="V46" s="715"/>
      <c r="W46" s="716"/>
    </row>
    <row r="47" spans="1:24">
      <c r="A47" s="621" t="s">
        <v>406</v>
      </c>
      <c r="C47" s="3506"/>
      <c r="D47" s="1543"/>
      <c r="E47" s="3507"/>
      <c r="F47" s="1543"/>
      <c r="G47" s="3506" t="s">
        <v>14</v>
      </c>
      <c r="H47" s="3507"/>
      <c r="I47" s="3507"/>
      <c r="J47" s="1543"/>
      <c r="K47" s="3507" t="s">
        <v>14</v>
      </c>
      <c r="L47" s="1543"/>
      <c r="M47" s="3506" t="s">
        <v>14</v>
      </c>
      <c r="N47" s="636"/>
      <c r="O47" s="1587"/>
      <c r="P47" s="636"/>
      <c r="Q47" s="3506"/>
      <c r="R47" s="3506"/>
      <c r="S47" s="3506"/>
      <c r="U47" s="1828"/>
      <c r="V47" s="715"/>
      <c r="W47" s="716"/>
    </row>
    <row r="48" spans="1:24">
      <c r="A48" s="621" t="s">
        <v>407</v>
      </c>
      <c r="C48" s="3506">
        <v>562450682</v>
      </c>
      <c r="D48" s="1543"/>
      <c r="E48" s="3507">
        <v>0</v>
      </c>
      <c r="F48" s="1543"/>
      <c r="G48" s="3506">
        <f t="shared" si="0"/>
        <v>0</v>
      </c>
      <c r="H48" s="3507"/>
      <c r="I48" s="3507">
        <v>0</v>
      </c>
      <c r="J48" s="1543"/>
      <c r="K48" s="3507">
        <v>0</v>
      </c>
      <c r="L48" s="1543" t="s">
        <v>14</v>
      </c>
      <c r="M48" s="3506">
        <f t="shared" ref="M48:M53" si="1">ROUND(SUM(C48)-SUM(K48)+SUM(G48),0)</f>
        <v>562450682</v>
      </c>
      <c r="N48" s="636"/>
      <c r="O48" s="1587"/>
      <c r="P48" s="636"/>
      <c r="Q48" s="3506">
        <v>0</v>
      </c>
      <c r="R48" s="3506"/>
      <c r="S48" s="3506">
        <v>0</v>
      </c>
      <c r="T48" s="1588"/>
      <c r="U48" s="799"/>
      <c r="V48" s="715"/>
      <c r="W48" s="716"/>
    </row>
    <row r="49" spans="1:23">
      <c r="A49" s="621" t="s">
        <v>408</v>
      </c>
      <c r="C49" s="3506">
        <v>7620311</v>
      </c>
      <c r="D49" s="1543"/>
      <c r="E49" s="3507">
        <v>0</v>
      </c>
      <c r="F49" s="1543"/>
      <c r="G49" s="3506">
        <f t="shared" si="0"/>
        <v>0</v>
      </c>
      <c r="H49" s="3507"/>
      <c r="I49" s="3507">
        <v>0</v>
      </c>
      <c r="J49" s="1543" t="s">
        <v>14</v>
      </c>
      <c r="K49" s="3507">
        <v>0</v>
      </c>
      <c r="L49" s="1543"/>
      <c r="M49" s="3506">
        <f t="shared" si="1"/>
        <v>7620311</v>
      </c>
      <c r="N49" s="636"/>
      <c r="O49" s="1587"/>
      <c r="P49" s="636"/>
      <c r="Q49" s="3506">
        <v>0</v>
      </c>
      <c r="R49" s="3506"/>
      <c r="S49" s="3506">
        <v>0</v>
      </c>
      <c r="T49" s="1588"/>
      <c r="U49" s="799"/>
      <c r="V49" s="715"/>
      <c r="W49" s="716"/>
    </row>
    <row r="50" spans="1:23">
      <c r="A50" s="621" t="s">
        <v>409</v>
      </c>
      <c r="C50" s="3506">
        <v>40464691</v>
      </c>
      <c r="D50" s="1543"/>
      <c r="E50" s="3507">
        <v>0</v>
      </c>
      <c r="F50" s="1543"/>
      <c r="G50" s="3506">
        <f t="shared" si="0"/>
        <v>0</v>
      </c>
      <c r="H50" s="3507"/>
      <c r="I50" s="3507">
        <v>0</v>
      </c>
      <c r="J50" s="1543"/>
      <c r="K50" s="3507">
        <v>0</v>
      </c>
      <c r="L50" s="1543"/>
      <c r="M50" s="3506">
        <f t="shared" si="1"/>
        <v>40464691</v>
      </c>
      <c r="N50" s="636"/>
      <c r="O50" s="1587"/>
      <c r="P50" s="636"/>
      <c r="Q50" s="3506">
        <v>0</v>
      </c>
      <c r="R50" s="3506"/>
      <c r="S50" s="3506">
        <v>0</v>
      </c>
      <c r="T50" s="1588"/>
      <c r="U50" s="799"/>
      <c r="V50" s="715"/>
      <c r="W50" s="716"/>
    </row>
    <row r="51" spans="1:23">
      <c r="A51" s="621" t="s">
        <v>410</v>
      </c>
      <c r="C51" s="3506">
        <v>90201189</v>
      </c>
      <c r="D51" s="1543"/>
      <c r="E51" s="3507">
        <v>0</v>
      </c>
      <c r="F51" s="1543"/>
      <c r="G51" s="3506">
        <f t="shared" si="0"/>
        <v>0</v>
      </c>
      <c r="H51" s="3507"/>
      <c r="I51" s="3507">
        <v>0</v>
      </c>
      <c r="J51" s="1543"/>
      <c r="K51" s="3507">
        <v>0</v>
      </c>
      <c r="L51" s="1543"/>
      <c r="M51" s="3506">
        <f t="shared" si="1"/>
        <v>90201189</v>
      </c>
      <c r="N51" s="636"/>
      <c r="O51" s="1587"/>
      <c r="P51" s="636"/>
      <c r="Q51" s="3506">
        <v>0</v>
      </c>
      <c r="R51" s="3506"/>
      <c r="S51" s="3506">
        <v>0</v>
      </c>
      <c r="T51" s="1588"/>
      <c r="U51" s="799"/>
      <c r="V51" s="715"/>
      <c r="W51" s="716"/>
    </row>
    <row r="52" spans="1:23">
      <c r="A52" s="621" t="s">
        <v>411</v>
      </c>
      <c r="C52" s="3506">
        <v>13929540</v>
      </c>
      <c r="D52" s="1543"/>
      <c r="E52" s="3507">
        <v>0</v>
      </c>
      <c r="F52" s="1543"/>
      <c r="G52" s="3506">
        <f t="shared" si="0"/>
        <v>0</v>
      </c>
      <c r="H52" s="3507"/>
      <c r="I52" s="3507">
        <v>0</v>
      </c>
      <c r="J52" s="1543"/>
      <c r="K52" s="3507">
        <v>0</v>
      </c>
      <c r="L52" s="1543"/>
      <c r="M52" s="3506">
        <f t="shared" si="1"/>
        <v>13929540</v>
      </c>
      <c r="N52" s="636"/>
      <c r="O52" s="1587"/>
      <c r="P52" s="636"/>
      <c r="Q52" s="3506">
        <v>0</v>
      </c>
      <c r="R52" s="3506"/>
      <c r="S52" s="3506">
        <v>0</v>
      </c>
      <c r="T52" s="1588"/>
      <c r="U52" s="799"/>
      <c r="V52" s="715"/>
      <c r="W52" s="716"/>
    </row>
    <row r="53" spans="1:23">
      <c r="A53" s="621" t="s">
        <v>806</v>
      </c>
      <c r="C53" s="3506">
        <v>691109424</v>
      </c>
      <c r="D53" s="1542"/>
      <c r="E53" s="3506">
        <v>0</v>
      </c>
      <c r="F53" s="1542"/>
      <c r="G53" s="3506">
        <f t="shared" si="0"/>
        <v>0</v>
      </c>
      <c r="H53" s="3506"/>
      <c r="I53" s="3506">
        <v>0</v>
      </c>
      <c r="J53" s="1542" t="s">
        <v>14</v>
      </c>
      <c r="K53" s="3506">
        <v>0</v>
      </c>
      <c r="L53" s="1542"/>
      <c r="M53" s="3506">
        <f t="shared" si="1"/>
        <v>691109424</v>
      </c>
      <c r="N53" s="636"/>
      <c r="O53" s="1587"/>
      <c r="P53" s="636"/>
      <c r="Q53" s="3506">
        <v>0</v>
      </c>
      <c r="R53" s="3506"/>
      <c r="S53" s="3506">
        <v>0</v>
      </c>
      <c r="T53" s="1588"/>
      <c r="U53" s="799"/>
      <c r="V53" s="715"/>
      <c r="W53" s="716"/>
    </row>
    <row r="54" spans="1:23">
      <c r="C54" s="3506"/>
      <c r="D54" s="1542"/>
      <c r="E54" s="3506"/>
      <c r="F54" s="1542"/>
      <c r="G54" s="3506" t="s">
        <v>14</v>
      </c>
      <c r="H54" s="3506"/>
      <c r="I54" s="3506"/>
      <c r="J54" s="1542"/>
      <c r="K54" s="3506"/>
      <c r="L54" s="1542"/>
      <c r="M54" s="3506" t="s">
        <v>14</v>
      </c>
      <c r="N54" s="636"/>
      <c r="O54" s="1587"/>
      <c r="P54" s="636"/>
      <c r="Q54" s="3506"/>
      <c r="R54" s="3506"/>
      <c r="S54" s="3506"/>
      <c r="U54" s="627"/>
      <c r="V54" s="715"/>
      <c r="W54" s="716"/>
    </row>
    <row r="55" spans="1:23">
      <c r="A55" s="621" t="s">
        <v>807</v>
      </c>
      <c r="C55" s="3506"/>
      <c r="D55" s="1542"/>
      <c r="E55" s="3506"/>
      <c r="F55" s="1542"/>
      <c r="G55" s="3506" t="s">
        <v>14</v>
      </c>
      <c r="H55" s="3506"/>
      <c r="I55" s="3506"/>
      <c r="J55" s="1542"/>
      <c r="K55" s="3506"/>
      <c r="L55" s="1542"/>
      <c r="M55" s="3506" t="s">
        <v>14</v>
      </c>
      <c r="N55" s="636"/>
      <c r="O55" s="1587"/>
      <c r="P55" s="636"/>
      <c r="Q55" s="3506"/>
      <c r="R55" s="3506"/>
      <c r="S55" s="3506"/>
      <c r="U55" s="1828"/>
      <c r="V55" s="715"/>
      <c r="W55" s="625"/>
    </row>
    <row r="56" spans="1:23">
      <c r="A56" s="621" t="s">
        <v>902</v>
      </c>
      <c r="C56" s="3506">
        <v>357668</v>
      </c>
      <c r="D56" s="1542"/>
      <c r="E56" s="3506">
        <v>0</v>
      </c>
      <c r="F56" s="1542"/>
      <c r="G56" s="3506">
        <f t="shared" si="0"/>
        <v>0</v>
      </c>
      <c r="H56" s="3506"/>
      <c r="I56" s="3506">
        <v>0</v>
      </c>
      <c r="J56" s="1542"/>
      <c r="K56" s="3506">
        <v>0</v>
      </c>
      <c r="L56" s="1542"/>
      <c r="M56" s="3506">
        <f>ROUND(SUM(C56)-SUM(K56)+SUM(G56),0)</f>
        <v>357668</v>
      </c>
      <c r="N56" s="636"/>
      <c r="O56" s="1587"/>
      <c r="P56" s="636"/>
      <c r="Q56" s="3506">
        <v>0</v>
      </c>
      <c r="R56" s="3506"/>
      <c r="S56" s="3506">
        <v>0</v>
      </c>
      <c r="T56" s="625"/>
      <c r="U56" s="799"/>
      <c r="V56" s="715"/>
      <c r="W56" s="716"/>
    </row>
    <row r="57" spans="1:23">
      <c r="A57" s="907" t="s">
        <v>875</v>
      </c>
      <c r="C57" s="3506">
        <v>1563392</v>
      </c>
      <c r="D57" s="1542"/>
      <c r="E57" s="3506">
        <v>0</v>
      </c>
      <c r="F57" s="1542"/>
      <c r="G57" s="3506">
        <f t="shared" si="0"/>
        <v>0</v>
      </c>
      <c r="H57" s="3506"/>
      <c r="I57" s="3506">
        <v>393136</v>
      </c>
      <c r="J57" s="1542"/>
      <c r="K57" s="3506">
        <v>393136</v>
      </c>
      <c r="L57" s="1542"/>
      <c r="M57" s="3506">
        <f>ROUND(SUM(C57)-SUM(K57)+SUM(G57),0)</f>
        <v>1170256</v>
      </c>
      <c r="N57" s="636"/>
      <c r="O57" s="1587"/>
      <c r="P57" s="636"/>
      <c r="Q57" s="3765">
        <v>37391</v>
      </c>
      <c r="R57" s="3765"/>
      <c r="S57" s="3765">
        <v>37391</v>
      </c>
      <c r="T57" s="625"/>
      <c r="U57" s="799"/>
      <c r="V57" s="715"/>
      <c r="W57" s="716"/>
    </row>
    <row r="58" spans="1:23" ht="13.5" customHeight="1">
      <c r="C58" s="3506"/>
      <c r="D58" s="1542"/>
      <c r="E58" s="3506"/>
      <c r="F58" s="1542"/>
      <c r="G58" s="3506" t="s">
        <v>14</v>
      </c>
      <c r="H58" s="3506"/>
      <c r="I58" s="3506"/>
      <c r="J58" s="1542"/>
      <c r="K58" s="3506"/>
      <c r="L58" s="1542"/>
      <c r="M58" s="3506" t="s">
        <v>14</v>
      </c>
      <c r="N58" s="636"/>
      <c r="O58" s="1587"/>
      <c r="P58" s="636"/>
      <c r="Q58" s="3506"/>
      <c r="R58" s="3506"/>
      <c r="S58" s="3506"/>
      <c r="U58" s="627"/>
      <c r="V58" s="715"/>
      <c r="W58" s="716"/>
    </row>
    <row r="59" spans="1:23">
      <c r="A59" s="621" t="s">
        <v>1193</v>
      </c>
      <c r="C59" s="3506">
        <v>306942604</v>
      </c>
      <c r="D59" s="1542"/>
      <c r="E59" s="3506">
        <v>0</v>
      </c>
      <c r="F59" s="1542"/>
      <c r="G59" s="3506">
        <f t="shared" si="0"/>
        <v>0</v>
      </c>
      <c r="H59" s="3506"/>
      <c r="I59" s="3506">
        <v>0</v>
      </c>
      <c r="J59" s="1542"/>
      <c r="K59" s="3506">
        <v>0</v>
      </c>
      <c r="L59" s="1542"/>
      <c r="M59" s="3506">
        <f>ROUND(SUM(C59)-SUM(K59)+SUM(G59),0)</f>
        <v>306942604</v>
      </c>
      <c r="N59" s="636"/>
      <c r="O59" s="1587"/>
      <c r="P59" s="636"/>
      <c r="Q59" s="3506">
        <v>0</v>
      </c>
      <c r="R59" s="3506"/>
      <c r="S59" s="3506">
        <v>0</v>
      </c>
      <c r="T59" s="625"/>
      <c r="U59" s="799"/>
      <c r="V59" s="715"/>
      <c r="W59" s="716"/>
    </row>
    <row r="60" spans="1:23" ht="13.5" customHeight="1">
      <c r="C60" s="3506"/>
      <c r="D60" s="1542"/>
      <c r="E60" s="3506"/>
      <c r="F60" s="1542"/>
      <c r="G60" s="3506" t="s">
        <v>14</v>
      </c>
      <c r="H60" s="3506"/>
      <c r="I60" s="3506"/>
      <c r="J60" s="1542"/>
      <c r="K60" s="3506"/>
      <c r="L60" s="1542"/>
      <c r="M60" s="3506" t="s">
        <v>14</v>
      </c>
      <c r="N60" s="636"/>
      <c r="O60" s="1587"/>
      <c r="P60" s="636"/>
      <c r="Q60" s="3506"/>
      <c r="R60" s="3506"/>
      <c r="S60" s="3506"/>
      <c r="U60" s="627"/>
      <c r="V60" s="715"/>
      <c r="W60" s="716"/>
    </row>
    <row r="61" spans="1:23">
      <c r="A61" s="621" t="s">
        <v>412</v>
      </c>
      <c r="C61" s="3506"/>
      <c r="D61" s="1542"/>
      <c r="E61" s="3506"/>
      <c r="F61" s="1542"/>
      <c r="G61" s="3506">
        <f t="shared" si="0"/>
        <v>0</v>
      </c>
      <c r="H61" s="3506"/>
      <c r="I61" s="3506"/>
      <c r="J61" s="1542"/>
      <c r="K61" s="3506"/>
      <c r="L61" s="1542"/>
      <c r="M61" s="3506" t="s">
        <v>14</v>
      </c>
      <c r="N61" s="636"/>
      <c r="O61" s="1587"/>
      <c r="P61" s="636"/>
      <c r="Q61" s="3506"/>
      <c r="R61" s="3506"/>
      <c r="S61" s="3506"/>
      <c r="U61" s="1828"/>
      <c r="V61" s="715"/>
      <c r="W61" s="625"/>
    </row>
    <row r="62" spans="1:23">
      <c r="A62" s="621" t="s">
        <v>409</v>
      </c>
      <c r="C62" s="3506">
        <v>1648621</v>
      </c>
      <c r="D62" s="1542"/>
      <c r="E62" s="3506">
        <v>0</v>
      </c>
      <c r="F62" s="1542"/>
      <c r="G62" s="3506">
        <f t="shared" si="0"/>
        <v>0</v>
      </c>
      <c r="H62" s="3506"/>
      <c r="I62" s="3506">
        <v>837811</v>
      </c>
      <c r="J62" s="1542"/>
      <c r="K62" s="3506">
        <v>837811</v>
      </c>
      <c r="L62" s="1542"/>
      <c r="M62" s="3506">
        <f>ROUND(SUM(C62)-SUM(K62)+SUM(G62),0)</f>
        <v>810810</v>
      </c>
      <c r="N62" s="636"/>
      <c r="O62" s="1587"/>
      <c r="P62" s="636"/>
      <c r="Q62" s="3506">
        <v>40662</v>
      </c>
      <c r="R62" s="3506"/>
      <c r="S62" s="3506">
        <v>40662</v>
      </c>
      <c r="T62" s="625"/>
      <c r="U62" s="799"/>
      <c r="V62" s="715"/>
      <c r="W62" s="716"/>
    </row>
    <row r="63" spans="1:23">
      <c r="A63" s="621" t="s">
        <v>413</v>
      </c>
      <c r="C63" s="3506">
        <v>0</v>
      </c>
      <c r="D63" s="1542"/>
      <c r="E63" s="3506">
        <v>0</v>
      </c>
      <c r="F63" s="1542"/>
      <c r="G63" s="3506">
        <f t="shared" si="0"/>
        <v>0</v>
      </c>
      <c r="H63" s="3506"/>
      <c r="I63" s="3506">
        <v>0</v>
      </c>
      <c r="J63" s="1542"/>
      <c r="K63" s="1542">
        <v>0</v>
      </c>
      <c r="L63" s="1542"/>
      <c r="M63" s="3506">
        <f>ROUND(SUM(C63)-SUM(K63)+SUM(G63),0)</f>
        <v>0</v>
      </c>
      <c r="N63" s="636"/>
      <c r="O63" s="1587"/>
      <c r="P63" s="636"/>
      <c r="Q63" s="3506">
        <v>0</v>
      </c>
      <c r="R63" s="3506"/>
      <c r="S63" s="3506">
        <v>0</v>
      </c>
      <c r="T63" s="625"/>
      <c r="U63" s="799"/>
      <c r="V63" s="715"/>
      <c r="W63" s="716"/>
    </row>
    <row r="64" spans="1:23">
      <c r="B64" s="636"/>
      <c r="C64" s="3512"/>
      <c r="D64" s="1589"/>
      <c r="E64" s="3508"/>
      <c r="F64" s="1589"/>
      <c r="G64" s="3508"/>
      <c r="H64" s="3508"/>
      <c r="I64" s="3508"/>
      <c r="J64" s="3508"/>
      <c r="K64" s="3508"/>
      <c r="L64" s="3508"/>
      <c r="M64" s="3508"/>
      <c r="N64" s="636"/>
      <c r="O64" s="1587"/>
      <c r="P64" s="636"/>
      <c r="Q64" s="1590"/>
      <c r="R64" s="636"/>
      <c r="S64" s="1591"/>
      <c r="T64" s="631"/>
    </row>
    <row r="65" spans="1:23" ht="15" customHeight="1" thickBot="1">
      <c r="A65" s="623" t="s">
        <v>414</v>
      </c>
      <c r="B65" s="1592"/>
      <c r="C65" s="3509">
        <f>ROUND(SUM(C16:C63),2)</f>
        <v>2168969999</v>
      </c>
      <c r="D65" s="2144"/>
      <c r="E65" s="3509">
        <f>ROUND(SUM(E16:E64),2)</f>
        <v>0</v>
      </c>
      <c r="F65" s="2144"/>
      <c r="G65" s="3509">
        <f>ROUND(SUM(G16:G63),2)</f>
        <v>0</v>
      </c>
      <c r="H65" s="1592"/>
      <c r="I65" s="3509">
        <f>ROUND(SUM(I16:I63),2)</f>
        <v>20895000</v>
      </c>
      <c r="J65" s="1592"/>
      <c r="K65" s="3509">
        <f>ROUND(SUM(K16:K63),0)</f>
        <v>20895000</v>
      </c>
      <c r="L65" s="1592"/>
      <c r="M65" s="3509">
        <f>ROUND(SUM(M16:M63),2)</f>
        <v>2148074999</v>
      </c>
      <c r="N65" s="1593"/>
      <c r="O65" s="1594"/>
      <c r="P65" s="1592"/>
      <c r="Q65" s="3509">
        <f>ROUND(SUM(Q16:Q63),2)</f>
        <v>2177697</v>
      </c>
      <c r="R65" s="1592"/>
      <c r="S65" s="3509">
        <f>ROUND(SUM(S16:S63),0)</f>
        <v>2177697</v>
      </c>
      <c r="T65" s="1595"/>
      <c r="U65" s="2144"/>
      <c r="V65" s="770"/>
      <c r="W65" s="770"/>
    </row>
    <row r="66" spans="1:23" ht="15" customHeight="1" thickTop="1">
      <c r="A66" s="1596"/>
      <c r="B66" s="1597"/>
      <c r="C66" s="867"/>
      <c r="D66" s="1595"/>
      <c r="E66" s="1598"/>
      <c r="F66" s="1595"/>
      <c r="G66" s="1598"/>
      <c r="H66" s="1597"/>
      <c r="I66" s="1595"/>
      <c r="J66" s="1597"/>
      <c r="K66" s="1599"/>
      <c r="L66" s="1597"/>
      <c r="M66" s="867"/>
      <c r="N66" s="623"/>
      <c r="O66" s="623"/>
      <c r="P66" s="1597"/>
      <c r="Q66" s="1599"/>
      <c r="R66" s="1597"/>
      <c r="S66" s="1595"/>
      <c r="U66" s="771"/>
      <c r="V66" s="771"/>
      <c r="W66" s="771"/>
    </row>
    <row r="67" spans="1:23">
      <c r="A67" s="3863"/>
      <c r="B67" s="631"/>
      <c r="C67" s="871"/>
      <c r="D67" s="631"/>
      <c r="E67" s="631"/>
      <c r="F67" s="631"/>
      <c r="H67" s="636"/>
      <c r="I67" s="621"/>
      <c r="J67" s="636"/>
      <c r="K67" s="3849" t="s">
        <v>14</v>
      </c>
      <c r="L67" s="636"/>
      <c r="N67" s="631"/>
      <c r="P67" s="717"/>
    </row>
    <row r="68" spans="1:23">
      <c r="A68" s="717"/>
      <c r="C68" s="871" t="s">
        <v>14</v>
      </c>
      <c r="D68" s="631" t="s">
        <v>1175</v>
      </c>
      <c r="E68" s="772"/>
      <c r="F68" s="631"/>
      <c r="G68" s="631"/>
      <c r="H68" s="715"/>
      <c r="I68" s="636"/>
      <c r="J68" s="715"/>
      <c r="K68" s="3504" t="s">
        <v>14</v>
      </c>
      <c r="L68" s="716"/>
      <c r="M68" s="798" t="s">
        <v>14</v>
      </c>
      <c r="O68" s="631"/>
      <c r="P68" s="716"/>
      <c r="Q68" s="1854"/>
      <c r="R68" s="625"/>
      <c r="S68" s="1854"/>
    </row>
    <row r="69" spans="1:23">
      <c r="A69" s="637"/>
      <c r="C69" s="798" t="s">
        <v>14</v>
      </c>
      <c r="E69" s="1600"/>
      <c r="G69" s="635"/>
      <c r="I69" s="627"/>
      <c r="K69" s="627" t="s">
        <v>14</v>
      </c>
      <c r="Q69" s="625"/>
      <c r="S69" s="625"/>
      <c r="T69" s="624"/>
    </row>
    <row r="70" spans="1:23">
      <c r="C70" s="798" t="s">
        <v>14</v>
      </c>
      <c r="E70" s="636"/>
      <c r="G70" s="636"/>
      <c r="K70" s="622" t="s">
        <v>14</v>
      </c>
      <c r="M70" s="799"/>
      <c r="O70" s="631"/>
      <c r="Q70" s="717"/>
    </row>
    <row r="71" spans="1:23">
      <c r="C71" s="798" t="s">
        <v>14</v>
      </c>
      <c r="D71" s="625"/>
      <c r="E71" s="626"/>
      <c r="F71" s="625"/>
      <c r="G71" s="626"/>
      <c r="I71" s="627"/>
      <c r="K71" s="627" t="s">
        <v>14</v>
      </c>
      <c r="M71" s="628"/>
      <c r="O71" s="631"/>
      <c r="Q71" s="632"/>
      <c r="S71" s="625"/>
    </row>
    <row r="72" spans="1:23">
      <c r="C72" s="798" t="s">
        <v>14</v>
      </c>
      <c r="D72" s="625"/>
      <c r="E72" s="626"/>
      <c r="F72" s="625"/>
      <c r="G72" s="716"/>
      <c r="I72" s="627"/>
      <c r="K72" s="627"/>
      <c r="M72" s="868"/>
      <c r="O72" s="631"/>
      <c r="Q72" s="716"/>
      <c r="S72" s="625"/>
    </row>
    <row r="73" spans="1:23">
      <c r="D73" s="625"/>
      <c r="E73" s="626"/>
      <c r="F73" s="625"/>
      <c r="G73" s="714"/>
      <c r="I73" s="627"/>
      <c r="K73" s="627"/>
      <c r="M73" s="799"/>
      <c r="O73" s="631"/>
      <c r="Q73" s="769"/>
      <c r="S73" s="625"/>
    </row>
    <row r="74" spans="1:23">
      <c r="D74" s="625"/>
      <c r="E74" s="626"/>
      <c r="F74" s="625"/>
      <c r="G74" s="626"/>
      <c r="I74" s="627"/>
      <c r="K74" s="627"/>
      <c r="M74" s="628"/>
      <c r="O74" s="631"/>
      <c r="Q74" s="632"/>
      <c r="S74" s="625"/>
      <c r="T74" s="624"/>
    </row>
    <row r="75" spans="1:23">
      <c r="D75" s="625"/>
      <c r="E75" s="626"/>
      <c r="F75" s="625"/>
      <c r="G75" s="626"/>
      <c r="I75" s="627"/>
      <c r="K75" s="627"/>
      <c r="M75" s="628"/>
      <c r="O75" s="631"/>
      <c r="Q75" s="632"/>
      <c r="S75" s="625"/>
    </row>
    <row r="76" spans="1:23">
      <c r="D76" s="625"/>
      <c r="E76" s="626"/>
      <c r="F76" s="625"/>
      <c r="G76" s="716"/>
      <c r="I76" s="627"/>
      <c r="K76" s="627"/>
      <c r="M76" s="868"/>
      <c r="O76" s="631"/>
      <c r="Q76" s="716"/>
      <c r="S76" s="625"/>
    </row>
    <row r="77" spans="1:23">
      <c r="D77" s="625"/>
      <c r="E77" s="626"/>
      <c r="F77" s="625"/>
      <c r="G77" s="714"/>
      <c r="I77" s="627"/>
      <c r="K77" s="627"/>
      <c r="M77" s="799"/>
      <c r="O77" s="631"/>
      <c r="Q77" s="769"/>
      <c r="S77" s="625"/>
    </row>
    <row r="78" spans="1:23">
      <c r="B78" s="631"/>
      <c r="C78" s="871"/>
      <c r="D78" s="773"/>
      <c r="E78" s="774"/>
      <c r="F78" s="773"/>
      <c r="G78" s="774"/>
      <c r="H78" s="631"/>
      <c r="I78" s="775"/>
      <c r="J78" s="631"/>
      <c r="K78" s="775"/>
      <c r="L78" s="631"/>
      <c r="M78" s="869"/>
      <c r="N78" s="631"/>
      <c r="O78" s="631"/>
      <c r="P78" s="631"/>
      <c r="Q78" s="776"/>
      <c r="R78" s="631"/>
      <c r="S78" s="773"/>
    </row>
    <row r="79" spans="1:23" ht="13">
      <c r="A79" s="631"/>
      <c r="B79" s="631"/>
      <c r="C79" s="3513"/>
      <c r="D79" s="630"/>
      <c r="E79" s="777"/>
      <c r="F79" s="630"/>
      <c r="G79" s="777"/>
      <c r="H79" s="629"/>
      <c r="I79" s="633"/>
      <c r="J79" s="629"/>
      <c r="K79" s="633"/>
      <c r="L79" s="629"/>
      <c r="M79" s="870"/>
      <c r="N79" s="629"/>
      <c r="O79" s="629"/>
      <c r="P79" s="629"/>
      <c r="Q79" s="777"/>
      <c r="R79" s="629"/>
      <c r="S79" s="630"/>
    </row>
    <row r="80" spans="1:23" ht="13">
      <c r="A80" s="629"/>
      <c r="C80" s="867"/>
      <c r="D80" s="771"/>
      <c r="E80" s="771"/>
      <c r="F80" s="771"/>
      <c r="G80" s="771"/>
      <c r="H80" s="623"/>
      <c r="I80" s="768"/>
      <c r="J80" s="623"/>
      <c r="K80" s="768"/>
      <c r="L80" s="623"/>
      <c r="M80" s="867"/>
      <c r="N80" s="623"/>
      <c r="O80" s="623"/>
      <c r="P80" s="623"/>
      <c r="Q80" s="771"/>
      <c r="R80" s="623"/>
      <c r="S80" s="771"/>
    </row>
    <row r="81" spans="1:13" ht="13">
      <c r="A81" s="623"/>
    </row>
    <row r="82" spans="1:13">
      <c r="C82" s="3514"/>
      <c r="D82" s="717"/>
      <c r="F82" s="717"/>
    </row>
    <row r="83" spans="1:13">
      <c r="C83" s="3515"/>
      <c r="D83" s="637"/>
      <c r="E83" s="772"/>
      <c r="F83" s="637"/>
      <c r="G83" s="772"/>
      <c r="H83" s="631"/>
      <c r="I83" s="634"/>
      <c r="J83" s="631"/>
      <c r="K83" s="634"/>
      <c r="L83" s="631"/>
      <c r="M83" s="871"/>
    </row>
    <row r="84" spans="1:13">
      <c r="E84" s="1544"/>
      <c r="G84" s="718"/>
    </row>
    <row r="85" spans="1:13">
      <c r="E85" s="1601"/>
      <c r="G85" s="635"/>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8"/>
  <sheetViews>
    <sheetView showGridLines="0" zoomScale="80" zoomScaleNormal="60" workbookViewId="0"/>
  </sheetViews>
  <sheetFormatPr defaultColWidth="8.765625" defaultRowHeight="12.5"/>
  <cols>
    <col min="1" max="1" width="3.765625" style="1602" customWidth="1"/>
    <col min="2" max="2" width="43.765625" style="1602" customWidth="1"/>
    <col min="3" max="3" width="2.07421875" style="1602" customWidth="1"/>
    <col min="4" max="4" width="13.765625" style="1602" customWidth="1"/>
    <col min="5" max="5" width="2.07421875" style="1602" customWidth="1"/>
    <col min="6" max="6" width="24" style="1602" bestFit="1" customWidth="1"/>
    <col min="7" max="7" width="2.07421875" style="1602" customWidth="1"/>
    <col min="8" max="8" width="20.07421875" style="1602" customWidth="1"/>
    <col min="9" max="9" width="2.07421875" style="1602" customWidth="1"/>
    <col min="10" max="10" width="17.765625" style="1602" bestFit="1" customWidth="1"/>
    <col min="11" max="11" width="2.07421875" style="1602" customWidth="1"/>
    <col min="12" max="12" width="17.765625" style="1602" bestFit="1" customWidth="1"/>
    <col min="13" max="13" width="2.07421875" style="1602" customWidth="1"/>
    <col min="14" max="14" width="19.765625" style="1602" bestFit="1" customWidth="1"/>
    <col min="15" max="15" width="2.07421875" style="1602" customWidth="1"/>
    <col min="16" max="16" width="18.4609375" style="1602" bestFit="1" customWidth="1"/>
    <col min="17" max="17" width="2.07421875" style="1602" customWidth="1"/>
    <col min="18" max="18" width="19.765625" style="1602" customWidth="1"/>
    <col min="19" max="19" width="2.07421875" style="1602" customWidth="1"/>
    <col min="20" max="20" width="19.765625" style="1602" bestFit="1" customWidth="1"/>
    <col min="21" max="21" width="2.07421875" style="1602" customWidth="1"/>
    <col min="22" max="22" width="20.765625" style="1602" bestFit="1" customWidth="1"/>
    <col min="23" max="23" width="17.07421875" style="1602" customWidth="1"/>
    <col min="24" max="24" width="18.53515625" style="1602" customWidth="1"/>
    <col min="25" max="25" width="35.07421875" style="1602" bestFit="1" customWidth="1"/>
    <col min="26" max="16384" width="8.765625" style="1602"/>
  </cols>
  <sheetData>
    <row r="1" spans="1:23" ht="15.5">
      <c r="B1" s="931" t="s">
        <v>885</v>
      </c>
    </row>
    <row r="2" spans="1:23" ht="15.5">
      <c r="B2" s="2052"/>
      <c r="C2" s="2052"/>
      <c r="D2" s="2052"/>
      <c r="E2" s="2052"/>
      <c r="F2" s="2052"/>
      <c r="G2" s="2052"/>
      <c r="H2" s="2052"/>
      <c r="I2" s="2052"/>
      <c r="J2" s="2052"/>
      <c r="K2" s="2052"/>
      <c r="L2" s="2052"/>
      <c r="M2" s="2052"/>
      <c r="N2" s="2052"/>
      <c r="O2" s="2052"/>
      <c r="P2" s="2052"/>
      <c r="Q2" s="2052"/>
      <c r="R2" s="2052"/>
      <c r="S2" s="2052"/>
      <c r="T2" s="2052"/>
      <c r="U2" s="2052"/>
      <c r="V2" s="2052"/>
      <c r="W2" s="2053"/>
    </row>
    <row r="3" spans="1:23" ht="18">
      <c r="A3" s="1603"/>
      <c r="B3" s="2054" t="s">
        <v>0</v>
      </c>
      <c r="C3" s="2055"/>
      <c r="D3" s="2055"/>
      <c r="E3" s="2055"/>
      <c r="F3" s="2052"/>
      <c r="G3" s="2052"/>
      <c r="H3" s="2052"/>
      <c r="I3" s="2052"/>
      <c r="J3" s="2052"/>
      <c r="K3" s="2052"/>
      <c r="L3" s="2052"/>
      <c r="M3" s="2052"/>
      <c r="N3" s="2052"/>
      <c r="O3" s="2052"/>
      <c r="P3" s="2052"/>
      <c r="Q3" s="2052"/>
      <c r="R3" s="2052"/>
      <c r="S3" s="2052"/>
      <c r="T3" s="2052"/>
      <c r="U3" s="2052"/>
      <c r="V3" s="2056" t="s">
        <v>415</v>
      </c>
      <c r="W3" s="2057"/>
    </row>
    <row r="4" spans="1:23" ht="18">
      <c r="A4" s="1603"/>
      <c r="B4" s="2054" t="s">
        <v>416</v>
      </c>
      <c r="C4" s="2055"/>
      <c r="D4" s="2055"/>
      <c r="E4" s="2055"/>
      <c r="F4" s="2052"/>
      <c r="G4" s="2052"/>
      <c r="H4" s="2052"/>
      <c r="I4" s="2052"/>
      <c r="J4" s="2052"/>
      <c r="K4" s="2052"/>
      <c r="L4" s="2052"/>
      <c r="M4" s="2052"/>
      <c r="N4" s="2052"/>
      <c r="O4" s="2052"/>
      <c r="P4" s="2052"/>
      <c r="Q4" s="2052"/>
      <c r="R4" s="2052"/>
      <c r="S4" s="2052"/>
      <c r="T4" s="2052"/>
      <c r="U4" s="2052"/>
      <c r="V4" s="2058"/>
      <c r="W4" s="2053"/>
    </row>
    <row r="5" spans="1:23" ht="18">
      <c r="A5" s="1603"/>
      <c r="B5" s="2054" t="s">
        <v>417</v>
      </c>
      <c r="C5" s="2055"/>
      <c r="D5" s="2055"/>
      <c r="E5" s="2055"/>
      <c r="F5" s="2052"/>
      <c r="G5" s="2052"/>
      <c r="H5" s="2052"/>
      <c r="I5" s="2052"/>
      <c r="J5" s="2052"/>
      <c r="K5" s="2052"/>
      <c r="L5" s="2052"/>
      <c r="M5" s="2052"/>
      <c r="N5" s="2052"/>
      <c r="O5" s="2052"/>
      <c r="P5" s="2052"/>
      <c r="Q5" s="2052"/>
      <c r="R5" s="2052"/>
      <c r="S5" s="2052"/>
      <c r="T5" s="2052"/>
      <c r="U5" s="2052"/>
      <c r="V5" s="2052"/>
      <c r="W5" s="2053"/>
    </row>
    <row r="6" spans="1:23" ht="18">
      <c r="A6" s="1603"/>
      <c r="B6" s="2059" t="s">
        <v>1427</v>
      </c>
      <c r="C6" s="2060"/>
      <c r="D6" s="2055"/>
      <c r="E6" s="2055"/>
      <c r="F6" s="2052"/>
      <c r="G6" s="2052"/>
      <c r="H6" s="2052"/>
      <c r="I6" s="2052"/>
      <c r="J6" s="2052"/>
      <c r="K6" s="2052"/>
      <c r="L6" s="2052"/>
      <c r="M6" s="2052"/>
      <c r="N6" s="2052"/>
      <c r="O6" s="2052"/>
      <c r="P6" s="2052"/>
      <c r="Q6" s="2052"/>
      <c r="R6" s="2052"/>
      <c r="S6" s="2052"/>
      <c r="T6" s="2052"/>
      <c r="U6" s="2052"/>
      <c r="V6" s="2052"/>
      <c r="W6" s="2053"/>
    </row>
    <row r="7" spans="1:23" ht="16">
      <c r="A7" s="1603"/>
      <c r="B7" s="2061"/>
      <c r="C7" s="2061"/>
      <c r="D7" s="2055"/>
      <c r="E7" s="2055"/>
      <c r="F7" s="2052"/>
      <c r="G7" s="2052"/>
      <c r="H7" s="2052"/>
      <c r="I7" s="2052"/>
      <c r="J7" s="2052"/>
      <c r="K7" s="2052"/>
      <c r="L7" s="2052"/>
      <c r="M7" s="2052"/>
      <c r="N7" s="2052"/>
      <c r="O7" s="2052"/>
      <c r="P7" s="2052"/>
      <c r="Q7" s="2052"/>
      <c r="R7" s="2052"/>
      <c r="S7" s="2052"/>
      <c r="T7" s="2052"/>
      <c r="U7" s="2052"/>
      <c r="V7" s="2052"/>
      <c r="W7" s="2053"/>
    </row>
    <row r="8" spans="1:23" ht="5.25" customHeight="1">
      <c r="B8" s="2062"/>
      <c r="C8" s="2062"/>
      <c r="D8" s="2052"/>
      <c r="E8" s="2052"/>
      <c r="F8" s="2052"/>
      <c r="G8" s="2052"/>
      <c r="H8" s="2052"/>
      <c r="I8" s="2052"/>
      <c r="J8" s="2052"/>
      <c r="K8" s="2052"/>
      <c r="L8" s="2052"/>
      <c r="M8" s="2052"/>
      <c r="N8" s="2052"/>
      <c r="O8" s="2052"/>
      <c r="P8" s="2052"/>
      <c r="Q8" s="2052"/>
      <c r="R8" s="2052"/>
      <c r="S8" s="2052"/>
      <c r="T8" s="2052"/>
      <c r="U8" s="2052"/>
      <c r="V8" s="2052"/>
      <c r="W8" s="2053"/>
    </row>
    <row r="9" spans="1:23" ht="16">
      <c r="B9" s="2052"/>
      <c r="C9" s="2052"/>
      <c r="E9" s="2063"/>
      <c r="F9" s="2063"/>
      <c r="G9" s="2063"/>
      <c r="H9" s="2063"/>
      <c r="I9" s="2063"/>
      <c r="J9" s="2063" t="s">
        <v>418</v>
      </c>
      <c r="K9" s="2063"/>
      <c r="L9" s="2063"/>
      <c r="M9" s="2063"/>
      <c r="N9" s="2063"/>
      <c r="O9" s="2063"/>
      <c r="P9" s="2063"/>
      <c r="Q9" s="2063"/>
      <c r="R9" s="2052"/>
      <c r="S9" s="2052"/>
      <c r="T9" s="2052"/>
      <c r="U9" s="2052"/>
      <c r="V9" s="2052"/>
      <c r="W9" s="2053"/>
    </row>
    <row r="10" spans="1:23" ht="16">
      <c r="B10" s="2052"/>
      <c r="C10" s="2052"/>
      <c r="D10" s="2063" t="s">
        <v>120</v>
      </c>
      <c r="E10" s="2064"/>
      <c r="F10" s="2064" t="s">
        <v>103</v>
      </c>
      <c r="G10" s="2064"/>
      <c r="H10" s="2064" t="s">
        <v>420</v>
      </c>
      <c r="I10" s="2064"/>
      <c r="J10" s="2064" t="s">
        <v>421</v>
      </c>
      <c r="K10" s="2064"/>
      <c r="L10" s="2064" t="s">
        <v>422</v>
      </c>
      <c r="M10" s="2064"/>
      <c r="N10" s="2064" t="s">
        <v>9</v>
      </c>
      <c r="O10" s="2064"/>
      <c r="P10" s="2064" t="s">
        <v>808</v>
      </c>
      <c r="Q10" s="2064"/>
      <c r="R10" s="2052"/>
      <c r="S10" s="2052"/>
      <c r="T10" s="2052"/>
      <c r="U10" s="2052"/>
      <c r="V10" s="2052"/>
      <c r="W10" s="2053"/>
    </row>
    <row r="11" spans="1:23" ht="16">
      <c r="B11" s="2052"/>
      <c r="C11" s="2052"/>
      <c r="D11" s="2064" t="s">
        <v>419</v>
      </c>
      <c r="E11" s="2064"/>
      <c r="F11" s="2064" t="s">
        <v>120</v>
      </c>
      <c r="G11" s="2064"/>
      <c r="H11" s="2064" t="s">
        <v>424</v>
      </c>
      <c r="I11" s="2064"/>
      <c r="J11" s="2064" t="s">
        <v>425</v>
      </c>
      <c r="K11" s="2064"/>
      <c r="L11" s="2064" t="s">
        <v>426</v>
      </c>
      <c r="M11" s="2064"/>
      <c r="N11" s="2065" t="s">
        <v>427</v>
      </c>
      <c r="O11" s="2064"/>
      <c r="P11" s="2064" t="s">
        <v>809</v>
      </c>
      <c r="Q11" s="2064"/>
      <c r="R11" s="2067" t="s">
        <v>428</v>
      </c>
      <c r="S11" s="2067"/>
      <c r="T11" s="2067"/>
      <c r="U11" s="2052"/>
      <c r="V11" s="2052"/>
      <c r="W11" s="2053"/>
    </row>
    <row r="12" spans="1:23" ht="16">
      <c r="B12" s="2052"/>
      <c r="C12" s="2052"/>
      <c r="D12" s="2064" t="s">
        <v>423</v>
      </c>
      <c r="E12" s="2064"/>
      <c r="F12" s="2064" t="s">
        <v>10</v>
      </c>
      <c r="G12" s="2064"/>
      <c r="H12" s="2064" t="s">
        <v>429</v>
      </c>
      <c r="I12" s="2064"/>
      <c r="J12" s="2064" t="s">
        <v>430</v>
      </c>
      <c r="K12" s="2064"/>
      <c r="L12" s="2064" t="s">
        <v>431</v>
      </c>
      <c r="M12" s="2064"/>
      <c r="N12" s="2065" t="s">
        <v>430</v>
      </c>
      <c r="O12" s="2065"/>
      <c r="P12" s="2064" t="s">
        <v>430</v>
      </c>
      <c r="Q12" s="2064"/>
      <c r="R12" s="2066" t="s">
        <v>1428</v>
      </c>
      <c r="S12" s="2066"/>
      <c r="T12" s="2066"/>
      <c r="U12" s="2052"/>
      <c r="V12" s="2063" t="s">
        <v>810</v>
      </c>
      <c r="W12" s="2068"/>
    </row>
    <row r="13" spans="1:23" ht="16">
      <c r="A13" s="1604"/>
      <c r="B13" s="2069" t="s">
        <v>439</v>
      </c>
      <c r="C13" s="2070"/>
      <c r="D13" s="2071" t="s">
        <v>432</v>
      </c>
      <c r="E13" s="2068"/>
      <c r="F13" s="2071" t="s">
        <v>433</v>
      </c>
      <c r="G13" s="2068"/>
      <c r="H13" s="2072" t="s">
        <v>434</v>
      </c>
      <c r="I13" s="2068"/>
      <c r="J13" s="2072" t="s">
        <v>435</v>
      </c>
      <c r="K13" s="2068"/>
      <c r="L13" s="2072" t="s">
        <v>436</v>
      </c>
      <c r="M13" s="2068"/>
      <c r="N13" s="2073" t="s">
        <v>437</v>
      </c>
      <c r="O13" s="2068"/>
      <c r="P13" s="2073" t="s">
        <v>811</v>
      </c>
      <c r="Q13" s="2068"/>
      <c r="R13" s="2074">
        <v>2021</v>
      </c>
      <c r="S13" s="2074"/>
      <c r="T13" s="2074">
        <v>2020</v>
      </c>
      <c r="U13" s="2068"/>
      <c r="V13" s="2075" t="s">
        <v>438</v>
      </c>
      <c r="W13" s="2068"/>
    </row>
    <row r="14" spans="1:23" ht="16">
      <c r="B14" s="2070" t="s">
        <v>440</v>
      </c>
      <c r="C14" s="2070"/>
      <c r="D14" s="2076"/>
      <c r="E14" s="2076"/>
      <c r="F14" s="2077"/>
      <c r="G14" s="2077"/>
      <c r="H14" s="2078"/>
      <c r="I14" s="2078"/>
      <c r="J14" s="2078"/>
      <c r="K14" s="2078"/>
      <c r="L14" s="2078"/>
      <c r="M14" s="2078"/>
      <c r="N14" s="2076"/>
      <c r="O14" s="2076"/>
      <c r="P14" s="2076"/>
      <c r="Q14" s="2076"/>
      <c r="R14" s="2078"/>
      <c r="S14" s="2078"/>
      <c r="T14" s="2079"/>
      <c r="U14" s="2079"/>
      <c r="V14" s="2080"/>
      <c r="W14" s="2053"/>
    </row>
    <row r="15" spans="1:23" ht="15.5">
      <c r="A15" s="1605"/>
      <c r="B15" s="2062" t="s">
        <v>441</v>
      </c>
      <c r="C15" s="2062"/>
      <c r="D15" s="2081">
        <v>0</v>
      </c>
      <c r="E15" s="2081"/>
      <c r="F15" s="2081">
        <v>0</v>
      </c>
      <c r="G15" s="2082"/>
      <c r="H15" s="2081">
        <v>0</v>
      </c>
      <c r="I15" s="2082"/>
      <c r="J15" s="2081">
        <v>0</v>
      </c>
      <c r="K15" s="2082"/>
      <c r="L15" s="2081">
        <v>0</v>
      </c>
      <c r="M15" s="2082"/>
      <c r="N15" s="2081">
        <v>0</v>
      </c>
      <c r="O15" s="2082"/>
      <c r="P15" s="2081">
        <v>0</v>
      </c>
      <c r="Q15" s="2082"/>
      <c r="R15" s="2081">
        <f>ROUND(SUM(D15:Q15),0)</f>
        <v>0</v>
      </c>
      <c r="S15" s="2081"/>
      <c r="T15" s="3491">
        <v>0</v>
      </c>
      <c r="U15" s="2082"/>
      <c r="V15" s="2083">
        <f>ROUND(R15-T15,0)</f>
        <v>0</v>
      </c>
      <c r="W15" s="2081"/>
    </row>
    <row r="16" spans="1:23" ht="15.5">
      <c r="A16" s="1605"/>
      <c r="B16" s="2052" t="s">
        <v>442</v>
      </c>
      <c r="C16" s="2052"/>
      <c r="D16" s="2084"/>
      <c r="E16" s="2084"/>
      <c r="F16" s="2084"/>
      <c r="G16" s="2084"/>
      <c r="H16" s="2084"/>
      <c r="I16" s="2084"/>
      <c r="J16" s="2084"/>
      <c r="K16" s="2082"/>
      <c r="L16" s="2084"/>
      <c r="M16" s="2085"/>
      <c r="N16" s="2084"/>
      <c r="O16" s="2085"/>
      <c r="P16" s="2084"/>
      <c r="Q16" s="2085"/>
      <c r="R16" s="2085"/>
      <c r="S16" s="2085"/>
      <c r="T16" s="3492"/>
      <c r="U16" s="2085"/>
      <c r="V16" s="2086"/>
      <c r="W16" s="2081"/>
    </row>
    <row r="17" spans="1:23" ht="15.5">
      <c r="A17" s="1605"/>
      <c r="B17" s="2052" t="s">
        <v>1151</v>
      </c>
      <c r="C17" s="2052"/>
      <c r="D17" s="2084">
        <v>0</v>
      </c>
      <c r="E17" s="2084">
        <v>0</v>
      </c>
      <c r="F17" s="2084">
        <v>0</v>
      </c>
      <c r="G17" s="2084">
        <v>0</v>
      </c>
      <c r="H17" s="2084">
        <v>0</v>
      </c>
      <c r="I17" s="2084">
        <v>0</v>
      </c>
      <c r="J17" s="2084">
        <v>0</v>
      </c>
      <c r="K17" s="2084">
        <v>0</v>
      </c>
      <c r="L17" s="2084">
        <v>0</v>
      </c>
      <c r="M17" s="2084"/>
      <c r="N17" s="2084">
        <v>0</v>
      </c>
      <c r="O17" s="2084">
        <v>0</v>
      </c>
      <c r="P17" s="2084">
        <v>0</v>
      </c>
      <c r="Q17" s="2084">
        <v>0</v>
      </c>
      <c r="R17" s="2085">
        <f>ROUND(SUM(D17:Q17),0)</f>
        <v>0</v>
      </c>
      <c r="S17" s="2085"/>
      <c r="T17" s="3493">
        <v>0</v>
      </c>
      <c r="U17" s="2087"/>
      <c r="V17" s="2087">
        <f t="shared" ref="V17:V26" si="0">SUM(R17-T17,0)</f>
        <v>0</v>
      </c>
      <c r="W17" s="2081"/>
    </row>
    <row r="18" spans="1:23" ht="15.5">
      <c r="A18" s="1605"/>
      <c r="B18" s="2052" t="s">
        <v>1152</v>
      </c>
      <c r="C18" s="2052"/>
      <c r="D18" s="2084">
        <v>0</v>
      </c>
      <c r="E18" s="2084">
        <v>0</v>
      </c>
      <c r="F18" s="2084">
        <v>0</v>
      </c>
      <c r="G18" s="2084">
        <v>0</v>
      </c>
      <c r="H18" s="2084">
        <v>0</v>
      </c>
      <c r="I18" s="2084">
        <v>0</v>
      </c>
      <c r="J18" s="2084">
        <v>0</v>
      </c>
      <c r="K18" s="2084">
        <v>0</v>
      </c>
      <c r="L18" s="2084">
        <v>0</v>
      </c>
      <c r="M18" s="2084"/>
      <c r="N18" s="2084">
        <v>0</v>
      </c>
      <c r="O18" s="2084"/>
      <c r="P18" s="2084">
        <v>0</v>
      </c>
      <c r="Q18" s="2084">
        <v>0</v>
      </c>
      <c r="R18" s="2085">
        <f t="shared" ref="R18:R26" si="1">ROUND(SUM(D18:Q18),0)</f>
        <v>0</v>
      </c>
      <c r="S18" s="2085"/>
      <c r="T18" s="2084">
        <v>0</v>
      </c>
      <c r="U18" s="2087"/>
      <c r="V18" s="2087">
        <f t="shared" si="0"/>
        <v>0</v>
      </c>
      <c r="W18" s="2081"/>
    </row>
    <row r="19" spans="1:23" ht="15.5">
      <c r="A19" s="1605"/>
      <c r="B19" s="2052" t="s">
        <v>443</v>
      </c>
      <c r="C19" s="2052"/>
      <c r="D19" s="2084">
        <v>0</v>
      </c>
      <c r="E19" s="2084">
        <v>0</v>
      </c>
      <c r="F19" s="2084">
        <v>0</v>
      </c>
      <c r="G19" s="2084">
        <v>0</v>
      </c>
      <c r="H19" s="2084">
        <v>0</v>
      </c>
      <c r="I19" s="2084">
        <v>0</v>
      </c>
      <c r="J19" s="2084">
        <v>0</v>
      </c>
      <c r="K19" s="2084">
        <v>0</v>
      </c>
      <c r="L19" s="2084">
        <v>0</v>
      </c>
      <c r="M19" s="2084"/>
      <c r="N19" s="2084">
        <v>0</v>
      </c>
      <c r="O19" s="2084"/>
      <c r="P19" s="2084">
        <v>0</v>
      </c>
      <c r="Q19" s="2084">
        <v>0</v>
      </c>
      <c r="R19" s="2085">
        <f>ROUND(SUM(D19:Q19),0)</f>
        <v>0</v>
      </c>
      <c r="S19" s="2085"/>
      <c r="T19" s="2084">
        <v>0</v>
      </c>
      <c r="U19" s="2087"/>
      <c r="V19" s="2087">
        <f t="shared" si="0"/>
        <v>0</v>
      </c>
      <c r="W19" s="2081"/>
    </row>
    <row r="20" spans="1:23" ht="15.5">
      <c r="A20" s="1605"/>
      <c r="B20" s="2052" t="s">
        <v>903</v>
      </c>
      <c r="C20" s="2052"/>
      <c r="D20" s="2084">
        <v>0</v>
      </c>
      <c r="E20" s="2084">
        <v>0</v>
      </c>
      <c r="F20" s="2084">
        <v>0</v>
      </c>
      <c r="G20" s="2084">
        <v>0</v>
      </c>
      <c r="H20" s="2084">
        <v>0</v>
      </c>
      <c r="I20" s="2084">
        <v>0</v>
      </c>
      <c r="J20" s="2084">
        <v>0</v>
      </c>
      <c r="K20" s="2084">
        <v>0</v>
      </c>
      <c r="L20" s="2084">
        <v>0</v>
      </c>
      <c r="M20" s="2084"/>
      <c r="N20" s="2084">
        <v>0</v>
      </c>
      <c r="O20" s="2084"/>
      <c r="P20" s="2084">
        <v>0</v>
      </c>
      <c r="Q20" s="2084">
        <v>0</v>
      </c>
      <c r="R20" s="2085">
        <f>ROUND(SUM(D20:Q20),0)</f>
        <v>0</v>
      </c>
      <c r="S20" s="2085"/>
      <c r="T20" s="2084">
        <v>0</v>
      </c>
      <c r="U20" s="2088"/>
      <c r="V20" s="2087">
        <f t="shared" si="0"/>
        <v>0</v>
      </c>
      <c r="W20" s="2081"/>
    </row>
    <row r="21" spans="1:23" ht="15.5">
      <c r="A21" s="1605"/>
      <c r="B21" s="2052" t="s">
        <v>756</v>
      </c>
      <c r="C21" s="2052"/>
      <c r="D21" s="2084">
        <v>0</v>
      </c>
      <c r="E21" s="2084">
        <v>0</v>
      </c>
      <c r="F21" s="2084">
        <v>0</v>
      </c>
      <c r="G21" s="2084">
        <v>0</v>
      </c>
      <c r="H21" s="2084">
        <v>0</v>
      </c>
      <c r="I21" s="2084">
        <v>0</v>
      </c>
      <c r="J21" s="2084">
        <v>0</v>
      </c>
      <c r="K21" s="2084">
        <v>0</v>
      </c>
      <c r="L21" s="2084">
        <v>0</v>
      </c>
      <c r="M21" s="2084"/>
      <c r="N21" s="2084">
        <v>0</v>
      </c>
      <c r="O21" s="2084"/>
      <c r="P21" s="2084">
        <v>0</v>
      </c>
      <c r="Q21" s="2084">
        <v>0</v>
      </c>
      <c r="R21" s="2085">
        <f t="shared" si="1"/>
        <v>0</v>
      </c>
      <c r="S21" s="2085"/>
      <c r="T21" s="2084">
        <v>0</v>
      </c>
      <c r="U21" s="2088"/>
      <c r="V21" s="2087">
        <f t="shared" si="0"/>
        <v>0</v>
      </c>
      <c r="W21" s="2081"/>
    </row>
    <row r="22" spans="1:23" ht="15.5">
      <c r="A22" s="1605"/>
      <c r="B22" s="2052" t="s">
        <v>1153</v>
      </c>
      <c r="C22" s="2052"/>
      <c r="D22" s="2084">
        <v>0</v>
      </c>
      <c r="E22" s="2084">
        <v>0</v>
      </c>
      <c r="F22" s="2084">
        <v>0</v>
      </c>
      <c r="G22" s="2084">
        <v>0</v>
      </c>
      <c r="H22" s="2084">
        <v>0</v>
      </c>
      <c r="I22" s="2084">
        <v>0</v>
      </c>
      <c r="J22" s="2084">
        <v>0</v>
      </c>
      <c r="K22" s="2084">
        <v>0</v>
      </c>
      <c r="L22" s="2084">
        <v>0</v>
      </c>
      <c r="M22" s="2084"/>
      <c r="N22" s="2084">
        <v>0</v>
      </c>
      <c r="O22" s="2084"/>
      <c r="P22" s="2084">
        <v>0</v>
      </c>
      <c r="Q22" s="2084">
        <v>0</v>
      </c>
      <c r="R22" s="2085">
        <f t="shared" si="1"/>
        <v>0</v>
      </c>
      <c r="S22" s="2085"/>
      <c r="T22" s="2084">
        <v>0</v>
      </c>
      <c r="U22" s="2087"/>
      <c r="V22" s="2087">
        <f t="shared" si="0"/>
        <v>0</v>
      </c>
      <c r="W22" s="2081"/>
    </row>
    <row r="23" spans="1:23" ht="15.5">
      <c r="A23" s="1605"/>
      <c r="B23" s="2052" t="s">
        <v>1154</v>
      </c>
      <c r="C23" s="2052"/>
      <c r="D23" s="2084">
        <v>0</v>
      </c>
      <c r="E23" s="2084">
        <v>0</v>
      </c>
      <c r="F23" s="2084">
        <v>92082231</v>
      </c>
      <c r="G23" s="2084">
        <v>0</v>
      </c>
      <c r="H23" s="2084">
        <v>0</v>
      </c>
      <c r="I23" s="2084">
        <v>0</v>
      </c>
      <c r="J23" s="2084">
        <v>0</v>
      </c>
      <c r="K23" s="2084">
        <v>0</v>
      </c>
      <c r="L23" s="2084">
        <v>0</v>
      </c>
      <c r="M23" s="2084"/>
      <c r="N23" s="2084">
        <v>0</v>
      </c>
      <c r="O23" s="2084"/>
      <c r="P23" s="2084">
        <v>0</v>
      </c>
      <c r="Q23" s="2084">
        <v>0</v>
      </c>
      <c r="R23" s="2085">
        <f t="shared" si="1"/>
        <v>92082231</v>
      </c>
      <c r="S23" s="2085"/>
      <c r="T23" s="2084">
        <v>0</v>
      </c>
      <c r="U23" s="2087"/>
      <c r="V23" s="2087">
        <f t="shared" si="0"/>
        <v>92082231</v>
      </c>
      <c r="W23" s="2081"/>
    </row>
    <row r="24" spans="1:23" ht="15.5">
      <c r="A24" s="1605"/>
      <c r="B24" s="2052" t="s">
        <v>444</v>
      </c>
      <c r="C24" s="2052"/>
      <c r="D24" s="2084">
        <v>0</v>
      </c>
      <c r="E24" s="2084">
        <v>0</v>
      </c>
      <c r="F24" s="2084">
        <v>0</v>
      </c>
      <c r="G24" s="2084">
        <v>0</v>
      </c>
      <c r="H24" s="2084">
        <v>0</v>
      </c>
      <c r="I24" s="2084">
        <v>0</v>
      </c>
      <c r="J24" s="2084">
        <v>0</v>
      </c>
      <c r="K24" s="2084">
        <v>0</v>
      </c>
      <c r="L24" s="2084">
        <v>0</v>
      </c>
      <c r="M24" s="2084"/>
      <c r="N24" s="2084">
        <v>0</v>
      </c>
      <c r="O24" s="2084"/>
      <c r="P24" s="2084">
        <v>0</v>
      </c>
      <c r="Q24" s="2084">
        <v>0</v>
      </c>
      <c r="R24" s="2085">
        <f t="shared" si="1"/>
        <v>0</v>
      </c>
      <c r="S24" s="2085"/>
      <c r="T24" s="3493">
        <v>0</v>
      </c>
      <c r="U24" s="2087"/>
      <c r="V24" s="2087">
        <f t="shared" si="0"/>
        <v>0</v>
      </c>
      <c r="W24" s="2081"/>
    </row>
    <row r="25" spans="1:23" ht="15.5">
      <c r="A25" s="1605"/>
      <c r="B25" s="2052" t="s">
        <v>445</v>
      </c>
      <c r="C25" s="2052"/>
      <c r="D25" s="2084">
        <v>0</v>
      </c>
      <c r="E25" s="2084">
        <v>0</v>
      </c>
      <c r="F25" s="2084">
        <v>0</v>
      </c>
      <c r="G25" s="2084">
        <v>0</v>
      </c>
      <c r="H25" s="2084">
        <v>0</v>
      </c>
      <c r="I25" s="2084">
        <v>0</v>
      </c>
      <c r="J25" s="2084">
        <v>0</v>
      </c>
      <c r="K25" s="2084">
        <v>0</v>
      </c>
      <c r="L25" s="2084">
        <v>0</v>
      </c>
      <c r="M25" s="2084"/>
      <c r="N25" s="2084">
        <v>0</v>
      </c>
      <c r="O25" s="2084"/>
      <c r="P25" s="2084">
        <v>0</v>
      </c>
      <c r="Q25" s="2084">
        <v>0</v>
      </c>
      <c r="R25" s="2085">
        <f t="shared" si="1"/>
        <v>0</v>
      </c>
      <c r="S25" s="2085"/>
      <c r="T25" s="3493">
        <v>0</v>
      </c>
      <c r="U25" s="2087"/>
      <c r="V25" s="2087">
        <f t="shared" si="0"/>
        <v>0</v>
      </c>
      <c r="W25" s="2081"/>
    </row>
    <row r="26" spans="1:23" ht="15.5">
      <c r="A26" s="1605"/>
      <c r="B26" s="2052" t="s">
        <v>1155</v>
      </c>
      <c r="C26" s="2052"/>
      <c r="D26" s="2084">
        <v>0</v>
      </c>
      <c r="E26" s="2084">
        <v>0</v>
      </c>
      <c r="F26" s="2084">
        <v>0</v>
      </c>
      <c r="G26" s="2084">
        <v>0</v>
      </c>
      <c r="H26" s="2084">
        <v>0</v>
      </c>
      <c r="I26" s="2084">
        <v>0</v>
      </c>
      <c r="J26" s="2084">
        <v>0</v>
      </c>
      <c r="K26" s="2084">
        <v>0</v>
      </c>
      <c r="L26" s="2084">
        <v>0</v>
      </c>
      <c r="M26" s="2084"/>
      <c r="N26" s="2084">
        <v>0</v>
      </c>
      <c r="O26" s="2084"/>
      <c r="P26" s="2084">
        <v>0</v>
      </c>
      <c r="Q26" s="2084">
        <v>0</v>
      </c>
      <c r="R26" s="2085">
        <f t="shared" si="1"/>
        <v>0</v>
      </c>
      <c r="S26" s="2085"/>
      <c r="T26" s="3493">
        <v>0</v>
      </c>
      <c r="U26" s="2087"/>
      <c r="V26" s="2087">
        <f t="shared" si="0"/>
        <v>0</v>
      </c>
      <c r="W26" s="2081"/>
    </row>
    <row r="27" spans="1:23" ht="15.5">
      <c r="A27" s="1605"/>
      <c r="B27" s="2052" t="s">
        <v>446</v>
      </c>
      <c r="C27" s="2052"/>
      <c r="D27" s="2089"/>
      <c r="E27" s="2089"/>
      <c r="F27" s="2089"/>
      <c r="G27" s="2089"/>
      <c r="H27" s="2089"/>
      <c r="I27" s="2089"/>
      <c r="J27" s="2089"/>
      <c r="K27" s="2089"/>
      <c r="L27" s="2089"/>
      <c r="M27" s="2089"/>
      <c r="N27" s="2089"/>
      <c r="O27" s="2089"/>
      <c r="P27" s="2089"/>
      <c r="Q27" s="2089"/>
      <c r="R27" s="2085"/>
      <c r="S27" s="2085"/>
      <c r="T27" s="3493"/>
      <c r="U27" s="2087"/>
      <c r="V27" s="2085"/>
      <c r="W27" s="2081"/>
    </row>
    <row r="28" spans="1:23" ht="15.5">
      <c r="A28" s="1605"/>
      <c r="B28" s="2052" t="s">
        <v>447</v>
      </c>
      <c r="C28" s="2052"/>
      <c r="D28" s="2084">
        <v>0</v>
      </c>
      <c r="E28" s="2084">
        <v>0</v>
      </c>
      <c r="F28" s="2084">
        <v>0</v>
      </c>
      <c r="G28" s="2084">
        <v>0</v>
      </c>
      <c r="H28" s="2084">
        <v>0</v>
      </c>
      <c r="I28" s="2084">
        <v>0</v>
      </c>
      <c r="J28" s="2084">
        <v>0</v>
      </c>
      <c r="K28" s="2084">
        <v>0</v>
      </c>
      <c r="L28" s="2084">
        <v>0</v>
      </c>
      <c r="M28" s="2084"/>
      <c r="N28" s="2084">
        <v>0</v>
      </c>
      <c r="O28" s="2084"/>
      <c r="P28" s="2084">
        <v>0</v>
      </c>
      <c r="Q28" s="2084">
        <v>0</v>
      </c>
      <c r="R28" s="2085">
        <f>ROUND(SUM(D28:Q28),0)</f>
        <v>0</v>
      </c>
      <c r="S28" s="2085"/>
      <c r="T28" s="3493">
        <v>0</v>
      </c>
      <c r="U28" s="2087"/>
      <c r="V28" s="2087">
        <f>SUM(R28-T28,0)</f>
        <v>0</v>
      </c>
      <c r="W28" s="2081"/>
    </row>
    <row r="29" spans="1:23" ht="15.5">
      <c r="A29" s="1605"/>
      <c r="B29" s="2052" t="s">
        <v>862</v>
      </c>
      <c r="C29" s="2052"/>
      <c r="D29" s="2084"/>
      <c r="E29" s="2084"/>
      <c r="F29" s="2084"/>
      <c r="G29" s="2085"/>
      <c r="H29" s="2084"/>
      <c r="I29" s="2084"/>
      <c r="J29" s="2084"/>
      <c r="K29" s="2085"/>
      <c r="L29" s="2084"/>
      <c r="M29" s="2085"/>
      <c r="N29" s="2084"/>
      <c r="O29" s="2085"/>
      <c r="P29" s="2084"/>
      <c r="Q29" s="2085"/>
      <c r="R29" s="2085"/>
      <c r="S29" s="2085"/>
      <c r="T29" s="3493"/>
      <c r="U29" s="2087"/>
      <c r="V29" s="2085"/>
      <c r="W29" s="2081"/>
    </row>
    <row r="30" spans="1:23" ht="17.149999999999999" customHeight="1">
      <c r="A30" s="1605"/>
      <c r="B30" s="2052" t="s">
        <v>861</v>
      </c>
      <c r="C30" s="2052"/>
      <c r="D30" s="2084">
        <v>0</v>
      </c>
      <c r="E30" s="2084"/>
      <c r="F30" s="2084">
        <v>7221750</v>
      </c>
      <c r="G30" s="2085"/>
      <c r="H30" s="2084">
        <v>0</v>
      </c>
      <c r="I30" s="2084"/>
      <c r="J30" s="2084">
        <v>0</v>
      </c>
      <c r="K30" s="2085"/>
      <c r="L30" s="2084">
        <v>0</v>
      </c>
      <c r="M30" s="2085"/>
      <c r="N30" s="2084">
        <v>0</v>
      </c>
      <c r="O30" s="2085"/>
      <c r="P30" s="2084">
        <v>0</v>
      </c>
      <c r="Q30" s="2085"/>
      <c r="R30" s="2085">
        <f>ROUND(SUM(D30:Q30),0)</f>
        <v>7221750</v>
      </c>
      <c r="S30" s="2085"/>
      <c r="T30" s="3527">
        <v>10704635</v>
      </c>
      <c r="U30" s="2087"/>
      <c r="V30" s="2087">
        <f t="shared" ref="V30:V41" si="2">SUM(R30-T30,0)</f>
        <v>-3482885</v>
      </c>
      <c r="W30" s="2081"/>
    </row>
    <row r="31" spans="1:23" ht="15.5">
      <c r="A31" s="1605"/>
      <c r="B31" s="2052" t="s">
        <v>860</v>
      </c>
      <c r="C31" s="2052"/>
      <c r="D31" s="2084">
        <v>0</v>
      </c>
      <c r="E31" s="2084">
        <v>0</v>
      </c>
      <c r="F31" s="2084">
        <v>0</v>
      </c>
      <c r="G31" s="2084">
        <v>0</v>
      </c>
      <c r="H31" s="2084">
        <v>0</v>
      </c>
      <c r="I31" s="2084">
        <v>0</v>
      </c>
      <c r="J31" s="2084">
        <v>0</v>
      </c>
      <c r="K31" s="2084">
        <v>0</v>
      </c>
      <c r="L31" s="2084">
        <v>0</v>
      </c>
      <c r="M31" s="2084"/>
      <c r="N31" s="2084">
        <v>0</v>
      </c>
      <c r="O31" s="2084"/>
      <c r="P31" s="2084">
        <v>0</v>
      </c>
      <c r="Q31" s="2084">
        <v>0</v>
      </c>
      <c r="R31" s="2085">
        <f>ROUND(SUM(D31:Q31),0)</f>
        <v>0</v>
      </c>
      <c r="S31" s="2085"/>
      <c r="T31" s="2084">
        <v>0</v>
      </c>
      <c r="U31" s="2087"/>
      <c r="V31" s="2087">
        <f t="shared" si="2"/>
        <v>0</v>
      </c>
      <c r="W31" s="2081"/>
    </row>
    <row r="32" spans="1:23" ht="15.5">
      <c r="A32" s="1605"/>
      <c r="B32" s="2052" t="s">
        <v>812</v>
      </c>
      <c r="C32" s="2052"/>
      <c r="D32" s="2084">
        <v>0</v>
      </c>
      <c r="E32" s="2084">
        <v>0</v>
      </c>
      <c r="F32" s="2084">
        <v>0</v>
      </c>
      <c r="G32" s="2084">
        <v>0</v>
      </c>
      <c r="H32" s="2084">
        <v>0</v>
      </c>
      <c r="I32" s="2084">
        <v>0</v>
      </c>
      <c r="J32" s="2084">
        <v>0</v>
      </c>
      <c r="K32" s="2084">
        <v>0</v>
      </c>
      <c r="L32" s="2084">
        <v>0</v>
      </c>
      <c r="M32" s="2084"/>
      <c r="N32" s="2084">
        <v>0</v>
      </c>
      <c r="O32" s="2084"/>
      <c r="P32" s="2084">
        <v>0</v>
      </c>
      <c r="Q32" s="2084">
        <v>0</v>
      </c>
      <c r="R32" s="2085">
        <f>ROUND(SUM(D32:Q32),0)</f>
        <v>0</v>
      </c>
      <c r="S32" s="2085"/>
      <c r="T32" s="2084">
        <v>0</v>
      </c>
      <c r="U32" s="2087"/>
      <c r="V32" s="2087">
        <f t="shared" si="2"/>
        <v>0</v>
      </c>
      <c r="W32" s="2081"/>
    </row>
    <row r="33" spans="1:25" ht="15.5">
      <c r="A33" s="1605"/>
      <c r="B33" s="2052" t="s">
        <v>448</v>
      </c>
      <c r="C33" s="2052"/>
      <c r="D33" s="2084"/>
      <c r="E33" s="2084"/>
      <c r="F33" s="2084"/>
      <c r="G33" s="2084"/>
      <c r="H33" s="2084"/>
      <c r="I33" s="2084"/>
      <c r="J33" s="2084"/>
      <c r="K33" s="2084"/>
      <c r="L33" s="2084"/>
      <c r="M33" s="2084"/>
      <c r="N33" s="2084"/>
      <c r="O33" s="2084"/>
      <c r="P33" s="2084"/>
      <c r="Q33" s="2084"/>
      <c r="R33" s="2085"/>
      <c r="S33" s="2085"/>
      <c r="T33" s="3493"/>
      <c r="U33" s="2087"/>
      <c r="V33" s="2085"/>
      <c r="W33" s="2081"/>
    </row>
    <row r="34" spans="1:25" ht="15.5">
      <c r="A34" s="1605"/>
      <c r="B34" s="2052" t="s">
        <v>449</v>
      </c>
      <c r="C34" s="2052"/>
      <c r="D34" s="2084">
        <v>0</v>
      </c>
      <c r="E34" s="2084">
        <v>0</v>
      </c>
      <c r="F34" s="2084">
        <v>0</v>
      </c>
      <c r="G34" s="2084">
        <v>0</v>
      </c>
      <c r="H34" s="2084">
        <v>0</v>
      </c>
      <c r="I34" s="2084">
        <v>0</v>
      </c>
      <c r="J34" s="2084">
        <v>0</v>
      </c>
      <c r="K34" s="2084">
        <v>0</v>
      </c>
      <c r="L34" s="2084">
        <v>0</v>
      </c>
      <c r="M34" s="2084"/>
      <c r="N34" s="2084">
        <v>0</v>
      </c>
      <c r="O34" s="2084"/>
      <c r="P34" s="2084">
        <v>0</v>
      </c>
      <c r="Q34" s="2084">
        <v>0</v>
      </c>
      <c r="R34" s="2085">
        <f t="shared" ref="R34:R39" si="3">ROUND(SUM(D34:Q34),0)</f>
        <v>0</v>
      </c>
      <c r="S34" s="2085"/>
      <c r="T34" s="2084">
        <v>0</v>
      </c>
      <c r="U34" s="2088"/>
      <c r="V34" s="2087">
        <f t="shared" si="2"/>
        <v>0</v>
      </c>
      <c r="W34" s="2081"/>
    </row>
    <row r="35" spans="1:25" ht="15.5">
      <c r="A35" s="1605"/>
      <c r="B35" s="2090" t="s">
        <v>450</v>
      </c>
      <c r="C35" s="2091"/>
      <c r="D35" s="2084">
        <v>0</v>
      </c>
      <c r="E35" s="2084">
        <v>0</v>
      </c>
      <c r="F35" s="2084">
        <v>0</v>
      </c>
      <c r="G35" s="2084">
        <v>0</v>
      </c>
      <c r="H35" s="2084">
        <v>0</v>
      </c>
      <c r="I35" s="2084">
        <v>0</v>
      </c>
      <c r="J35" s="2084">
        <v>0</v>
      </c>
      <c r="K35" s="2084">
        <v>0</v>
      </c>
      <c r="L35" s="2084">
        <v>0</v>
      </c>
      <c r="M35" s="2084"/>
      <c r="N35" s="2084">
        <v>0</v>
      </c>
      <c r="O35" s="2084"/>
      <c r="P35" s="2084">
        <v>0</v>
      </c>
      <c r="Q35" s="2084">
        <v>0</v>
      </c>
      <c r="R35" s="2085">
        <f t="shared" si="3"/>
        <v>0</v>
      </c>
      <c r="S35" s="2085"/>
      <c r="T35" s="2084">
        <v>0</v>
      </c>
      <c r="U35" s="2088"/>
      <c r="V35" s="2087">
        <f t="shared" si="2"/>
        <v>0</v>
      </c>
      <c r="W35" s="2081"/>
    </row>
    <row r="36" spans="1:25" ht="15.5">
      <c r="A36" s="1605"/>
      <c r="B36" s="2052" t="s">
        <v>1151</v>
      </c>
      <c r="C36" s="2052"/>
      <c r="D36" s="2084">
        <v>0</v>
      </c>
      <c r="E36" s="2084">
        <v>0</v>
      </c>
      <c r="F36" s="2084">
        <v>0</v>
      </c>
      <c r="G36" s="2084">
        <v>0</v>
      </c>
      <c r="H36" s="2084">
        <v>0</v>
      </c>
      <c r="I36" s="2084">
        <v>0</v>
      </c>
      <c r="J36" s="2084">
        <v>0</v>
      </c>
      <c r="K36" s="2084">
        <v>0</v>
      </c>
      <c r="L36" s="2084">
        <v>0</v>
      </c>
      <c r="M36" s="2084"/>
      <c r="N36" s="2084">
        <v>0</v>
      </c>
      <c r="O36" s="2084"/>
      <c r="P36" s="2084">
        <v>0</v>
      </c>
      <c r="Q36" s="2084">
        <v>0</v>
      </c>
      <c r="R36" s="2085">
        <f t="shared" si="3"/>
        <v>0</v>
      </c>
      <c r="S36" s="2085"/>
      <c r="T36" s="2084">
        <v>0</v>
      </c>
      <c r="U36" s="2088"/>
      <c r="V36" s="2087">
        <f t="shared" si="2"/>
        <v>0</v>
      </c>
      <c r="W36" s="2081"/>
    </row>
    <row r="37" spans="1:25" ht="15.5">
      <c r="A37" s="1605"/>
      <c r="B37" s="2090" t="s">
        <v>451</v>
      </c>
      <c r="C37" s="2091"/>
      <c r="D37" s="2084">
        <v>0</v>
      </c>
      <c r="E37" s="2084">
        <v>0</v>
      </c>
      <c r="F37" s="2084">
        <v>0</v>
      </c>
      <c r="G37" s="2084">
        <v>0</v>
      </c>
      <c r="H37" s="2084">
        <v>0</v>
      </c>
      <c r="I37" s="2084">
        <v>0</v>
      </c>
      <c r="J37" s="2084">
        <v>0</v>
      </c>
      <c r="K37" s="2084">
        <v>0</v>
      </c>
      <c r="L37" s="2084">
        <v>0</v>
      </c>
      <c r="M37" s="2084"/>
      <c r="N37" s="2084">
        <v>0</v>
      </c>
      <c r="O37" s="2084"/>
      <c r="P37" s="2084">
        <v>0</v>
      </c>
      <c r="Q37" s="2084">
        <v>0</v>
      </c>
      <c r="R37" s="2085">
        <f t="shared" si="3"/>
        <v>0</v>
      </c>
      <c r="S37" s="2085"/>
      <c r="T37" s="2084">
        <v>0</v>
      </c>
      <c r="U37" s="2087"/>
      <c r="V37" s="2087">
        <f t="shared" si="2"/>
        <v>0</v>
      </c>
      <c r="W37" s="2081"/>
    </row>
    <row r="38" spans="1:25" ht="15.5">
      <c r="A38" s="1605"/>
      <c r="B38" s="2062" t="s">
        <v>452</v>
      </c>
      <c r="C38" s="2062"/>
      <c r="D38" s="2084">
        <v>0</v>
      </c>
      <c r="E38" s="2084">
        <v>0</v>
      </c>
      <c r="F38" s="2084">
        <v>0</v>
      </c>
      <c r="G38" s="2084">
        <v>0</v>
      </c>
      <c r="H38" s="2084">
        <v>0</v>
      </c>
      <c r="I38" s="2084">
        <v>0</v>
      </c>
      <c r="J38" s="2084">
        <v>0</v>
      </c>
      <c r="K38" s="2084">
        <v>0</v>
      </c>
      <c r="L38" s="2084">
        <v>0</v>
      </c>
      <c r="M38" s="2084"/>
      <c r="N38" s="2084">
        <v>0</v>
      </c>
      <c r="O38" s="2084"/>
      <c r="P38" s="2084">
        <v>0</v>
      </c>
      <c r="Q38" s="2084">
        <v>0</v>
      </c>
      <c r="R38" s="2085">
        <f t="shared" si="3"/>
        <v>0</v>
      </c>
      <c r="S38" s="2085"/>
      <c r="T38" s="2084">
        <v>0</v>
      </c>
      <c r="U38" s="2087"/>
      <c r="V38" s="2087">
        <f t="shared" si="2"/>
        <v>0</v>
      </c>
      <c r="W38" s="2081"/>
    </row>
    <row r="39" spans="1:25" ht="15.5">
      <c r="A39" s="1605"/>
      <c r="B39" s="2090" t="s">
        <v>1068</v>
      </c>
      <c r="C39" s="2091"/>
      <c r="D39" s="2084">
        <v>0</v>
      </c>
      <c r="E39" s="2084">
        <v>0</v>
      </c>
      <c r="F39" s="2084">
        <v>0</v>
      </c>
      <c r="G39" s="2084">
        <v>0</v>
      </c>
      <c r="H39" s="2084">
        <v>0</v>
      </c>
      <c r="I39" s="2084">
        <v>0</v>
      </c>
      <c r="J39" s="2084">
        <v>0</v>
      </c>
      <c r="K39" s="2084">
        <v>0</v>
      </c>
      <c r="L39" s="2084">
        <v>0</v>
      </c>
      <c r="M39" s="2084"/>
      <c r="N39" s="2084">
        <v>0</v>
      </c>
      <c r="O39" s="2084"/>
      <c r="P39" s="2084">
        <v>0</v>
      </c>
      <c r="Q39" s="2084">
        <v>0</v>
      </c>
      <c r="R39" s="2085">
        <f t="shared" si="3"/>
        <v>0</v>
      </c>
      <c r="S39" s="2085"/>
      <c r="T39" s="2084">
        <v>0</v>
      </c>
      <c r="U39" s="2087"/>
      <c r="V39" s="2087">
        <f t="shared" si="2"/>
        <v>0</v>
      </c>
      <c r="W39" s="2081"/>
    </row>
    <row r="40" spans="1:25" ht="16">
      <c r="A40" s="1604"/>
      <c r="B40" s="2052" t="s">
        <v>916</v>
      </c>
      <c r="C40" s="2052"/>
      <c r="D40" s="2084">
        <v>0</v>
      </c>
      <c r="E40" s="2084">
        <v>0</v>
      </c>
      <c r="F40" s="2084">
        <v>0</v>
      </c>
      <c r="G40" s="2084">
        <v>0</v>
      </c>
      <c r="H40" s="2084">
        <v>0</v>
      </c>
      <c r="I40" s="2084">
        <v>0</v>
      </c>
      <c r="J40" s="2084">
        <v>0</v>
      </c>
      <c r="K40" s="2084">
        <v>0</v>
      </c>
      <c r="L40" s="2084">
        <v>0</v>
      </c>
      <c r="M40" s="2084"/>
      <c r="N40" s="2084">
        <v>0</v>
      </c>
      <c r="O40" s="2084"/>
      <c r="P40" s="2084">
        <v>0</v>
      </c>
      <c r="Q40" s="2084">
        <v>0</v>
      </c>
      <c r="R40" s="2085">
        <f>ROUND(SUM(D40:Q40),0)</f>
        <v>0</v>
      </c>
      <c r="S40" s="2085"/>
      <c r="T40" s="2084">
        <v>0</v>
      </c>
      <c r="U40" s="2092"/>
      <c r="V40" s="2087">
        <f t="shared" si="2"/>
        <v>0</v>
      </c>
      <c r="W40" s="2081"/>
      <c r="Y40" s="1606"/>
    </row>
    <row r="41" spans="1:25" ht="16">
      <c r="B41" s="2052" t="s">
        <v>453</v>
      </c>
      <c r="C41" s="2052"/>
      <c r="D41" s="2084">
        <v>0</v>
      </c>
      <c r="E41" s="2084">
        <v>0</v>
      </c>
      <c r="F41" s="2084">
        <v>0</v>
      </c>
      <c r="G41" s="2084">
        <v>0</v>
      </c>
      <c r="H41" s="2084">
        <v>0</v>
      </c>
      <c r="I41" s="2084">
        <v>0</v>
      </c>
      <c r="J41" s="2084">
        <v>0</v>
      </c>
      <c r="K41" s="2084">
        <v>0</v>
      </c>
      <c r="L41" s="2084">
        <v>0</v>
      </c>
      <c r="M41" s="2084"/>
      <c r="N41" s="2084">
        <v>0</v>
      </c>
      <c r="O41" s="2084"/>
      <c r="P41" s="2084">
        <v>0</v>
      </c>
      <c r="Q41" s="2084">
        <v>0</v>
      </c>
      <c r="R41" s="2085">
        <f>ROUND(SUM(D41:Q41),0)</f>
        <v>0</v>
      </c>
      <c r="S41" s="2085"/>
      <c r="T41" s="3493">
        <v>0</v>
      </c>
      <c r="U41" s="2093"/>
      <c r="V41" s="2087">
        <f t="shared" si="2"/>
        <v>0</v>
      </c>
      <c r="W41" s="2081"/>
    </row>
    <row r="42" spans="1:25" ht="16">
      <c r="A42" s="1607"/>
      <c r="B42" s="2055" t="s">
        <v>454</v>
      </c>
      <c r="C42" s="2055"/>
      <c r="D42" s="2058"/>
      <c r="E42" s="2058"/>
      <c r="F42" s="2058"/>
      <c r="G42" s="2058"/>
      <c r="H42" s="2094"/>
      <c r="I42" s="2094"/>
      <c r="J42" s="2086"/>
      <c r="K42" s="2086"/>
      <c r="L42" s="2086"/>
      <c r="M42" s="2086"/>
      <c r="N42" s="2094"/>
      <c r="O42" s="2094"/>
      <c r="P42" s="2094"/>
      <c r="Q42" s="2094"/>
      <c r="R42" s="2094"/>
      <c r="S42" s="2094"/>
      <c r="T42" s="2094"/>
      <c r="U42" s="2095"/>
      <c r="V42" s="2085"/>
      <c r="W42" s="2081"/>
    </row>
    <row r="43" spans="1:25" s="1603" customFormat="1" ht="16.5" thickBot="1">
      <c r="B43" s="2096" t="s">
        <v>455</v>
      </c>
      <c r="C43" s="2060"/>
      <c r="D43" s="2097">
        <f>ROUND(SUM(D15:D41),0)</f>
        <v>0</v>
      </c>
      <c r="E43" s="2098"/>
      <c r="F43" s="2097">
        <f>ROUND(SUM(F15:F41),0)</f>
        <v>99303981</v>
      </c>
      <c r="G43" s="2098"/>
      <c r="H43" s="2097">
        <f>ROUND(SUM(H15:H41),0)</f>
        <v>0</v>
      </c>
      <c r="I43" s="2098"/>
      <c r="J43" s="2097">
        <f>ROUND(SUM(J15:J41),0)</f>
        <v>0</v>
      </c>
      <c r="K43" s="2099"/>
      <c r="L43" s="2097">
        <f>ROUND(SUM(L15:L41),0)</f>
        <v>0</v>
      </c>
      <c r="M43" s="2099"/>
      <c r="N43" s="2097">
        <f>ROUND(SUM(N15:N41),0)</f>
        <v>0</v>
      </c>
      <c r="O43" s="2098"/>
      <c r="P43" s="2097">
        <f>ROUND(SUM(P15:P41),0)</f>
        <v>0</v>
      </c>
      <c r="Q43" s="2098"/>
      <c r="R43" s="2097">
        <f>ROUND(SUM(R15:R41),0)</f>
        <v>99303981</v>
      </c>
      <c r="S43" s="2098"/>
      <c r="T43" s="2097">
        <f>ROUND(SUM(T15:T41),0)</f>
        <v>10704635</v>
      </c>
      <c r="U43" s="2098"/>
      <c r="V43" s="2097">
        <f>ROUND(SUM(V15:V41),0)</f>
        <v>88599346</v>
      </c>
      <c r="W43" s="2081"/>
    </row>
    <row r="44" spans="1:25" ht="16" thickTop="1">
      <c r="C44" s="2100"/>
      <c r="D44" s="2052"/>
      <c r="E44" s="2052"/>
      <c r="F44" s="2052"/>
      <c r="G44" s="2052"/>
      <c r="H44" s="2052"/>
      <c r="I44" s="2052"/>
      <c r="J44" s="2052"/>
      <c r="K44" s="2052"/>
      <c r="L44" s="2052"/>
      <c r="M44" s="2052"/>
      <c r="N44" s="2052"/>
      <c r="O44" s="2052"/>
      <c r="P44" s="2052"/>
      <c r="Q44" s="2052"/>
      <c r="R44" s="2052"/>
      <c r="S44" s="2052"/>
      <c r="T44" s="2052"/>
      <c r="U44" s="2052"/>
      <c r="V44" s="2101"/>
      <c r="W44" s="2053"/>
    </row>
    <row r="45" spans="1:25" ht="16">
      <c r="B45" s="1426"/>
      <c r="C45" s="2052"/>
      <c r="D45" s="2052"/>
      <c r="E45" s="2052"/>
      <c r="F45" s="2052"/>
      <c r="G45" s="2052"/>
      <c r="H45" s="2052"/>
      <c r="I45" s="2052"/>
      <c r="J45" s="2052"/>
      <c r="K45" s="2052"/>
      <c r="L45" s="2052"/>
      <c r="M45" s="2052"/>
      <c r="N45" s="2052"/>
      <c r="O45" s="2052"/>
      <c r="P45" s="2052"/>
      <c r="Q45" s="2052"/>
      <c r="R45" s="3402"/>
      <c r="S45" s="2052"/>
      <c r="T45" s="2052"/>
      <c r="U45" s="2052"/>
      <c r="V45" s="2052"/>
    </row>
    <row r="46" spans="1:25" ht="15.5">
      <c r="B46" s="1608"/>
      <c r="R46" s="3403" t="s">
        <v>14</v>
      </c>
    </row>
    <row r="47" spans="1:25" ht="15.5">
      <c r="B47" s="1608"/>
      <c r="R47" s="3766" t="s">
        <v>14</v>
      </c>
    </row>
    <row r="48" spans="1:25" ht="15.5">
      <c r="B48" s="1608"/>
      <c r="R48" s="3403"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65625" defaultRowHeight="15.5"/>
  <cols>
    <col min="1" max="1" width="2.07421875" style="1332" customWidth="1"/>
    <col min="2" max="4" width="9.765625" style="1332" customWidth="1"/>
    <col min="5" max="5" width="10.4609375" style="1332" customWidth="1"/>
    <col min="6" max="6" width="14.765625" style="1332" customWidth="1"/>
    <col min="7" max="7" width="1.07421875" style="1332" customWidth="1"/>
    <col min="8" max="8" width="16.765625" style="1332" customWidth="1"/>
    <col min="9" max="9" width="1.07421875" style="1332" customWidth="1"/>
    <col min="10" max="10" width="16.765625" style="1332" bestFit="1" customWidth="1"/>
    <col min="11" max="11" width="9.765625" style="1332" customWidth="1"/>
    <col min="12" max="12" width="15.765625" style="1332" customWidth="1"/>
    <col min="13" max="16384" width="8.765625" style="1332"/>
  </cols>
  <sheetData>
    <row r="1" spans="2:12">
      <c r="B1" s="3535" t="s">
        <v>885</v>
      </c>
    </row>
    <row r="2" spans="2:12">
      <c r="B2" s="821"/>
    </row>
    <row r="3" spans="2:12">
      <c r="B3" s="713" t="s">
        <v>0</v>
      </c>
      <c r="J3" s="1195" t="s">
        <v>1067</v>
      </c>
    </row>
    <row r="4" spans="2:12">
      <c r="B4" s="822" t="s">
        <v>1066</v>
      </c>
    </row>
    <row r="5" spans="2:12">
      <c r="B5" s="1936" t="str">
        <f>'Sch 1 '!A8</f>
        <v>FOR THE MONTH OF APRIL 2021</v>
      </c>
      <c r="C5" s="1937"/>
      <c r="D5" s="1937"/>
      <c r="E5" s="1937"/>
      <c r="F5" s="1937"/>
      <c r="G5" s="1937"/>
      <c r="H5" s="1937"/>
      <c r="I5" s="1937"/>
      <c r="J5" s="1937"/>
      <c r="K5" s="1937"/>
      <c r="L5" s="1937"/>
    </row>
    <row r="6" spans="2:12">
      <c r="B6" s="1936" t="s">
        <v>794</v>
      </c>
      <c r="C6" s="1937"/>
      <c r="D6" s="1937"/>
      <c r="E6" s="1937"/>
      <c r="F6" s="1937"/>
      <c r="G6" s="1937"/>
      <c r="H6" s="1937"/>
      <c r="I6" s="1937"/>
      <c r="J6" s="1937"/>
      <c r="K6" s="1937"/>
      <c r="L6" s="1937"/>
    </row>
    <row r="7" spans="2:12">
      <c r="B7" s="1936" t="s">
        <v>1280</v>
      </c>
      <c r="C7" s="1938"/>
      <c r="D7" s="1938"/>
      <c r="E7" s="1938"/>
      <c r="F7" s="1938"/>
      <c r="G7" s="1938"/>
      <c r="H7" s="1938"/>
      <c r="I7" s="1938"/>
      <c r="J7" s="1938"/>
      <c r="K7" s="1938"/>
      <c r="L7" s="1938"/>
    </row>
    <row r="8" spans="2:12">
      <c r="B8" s="399"/>
      <c r="G8" s="399"/>
      <c r="I8" s="399"/>
    </row>
    <row r="9" spans="2:12">
      <c r="B9" s="399"/>
      <c r="F9" s="400" t="s">
        <v>6</v>
      </c>
      <c r="G9" s="399"/>
      <c r="H9" s="401" t="s">
        <v>457</v>
      </c>
      <c r="I9" s="399"/>
      <c r="J9" s="400" t="s">
        <v>456</v>
      </c>
    </row>
    <row r="10" spans="2:12">
      <c r="B10" s="399"/>
      <c r="F10" s="402" t="s">
        <v>1416</v>
      </c>
      <c r="G10" s="399"/>
      <c r="H10" s="401" t="s">
        <v>459</v>
      </c>
      <c r="I10" s="399"/>
      <c r="J10" s="401" t="s">
        <v>458</v>
      </c>
    </row>
    <row r="11" spans="2:12">
      <c r="B11" s="399"/>
      <c r="F11" s="1888"/>
      <c r="G11" s="399"/>
      <c r="H11" s="1888"/>
      <c r="I11" s="399"/>
      <c r="J11" s="1888"/>
    </row>
    <row r="12" spans="2:12">
      <c r="B12" s="403" t="s">
        <v>878</v>
      </c>
      <c r="G12" s="399"/>
      <c r="I12" s="399"/>
      <c r="J12" s="712"/>
      <c r="K12" s="712"/>
    </row>
    <row r="13" spans="2:12">
      <c r="B13" s="399"/>
      <c r="G13" s="399"/>
      <c r="I13" s="399"/>
      <c r="J13" s="712"/>
      <c r="K13" s="712"/>
    </row>
    <row r="14" spans="2:12">
      <c r="B14" s="659" t="s">
        <v>877</v>
      </c>
      <c r="F14" s="3083">
        <v>26685.1</v>
      </c>
      <c r="G14" s="3083"/>
      <c r="H14" s="3405">
        <v>26685.1</v>
      </c>
      <c r="I14" s="1333"/>
      <c r="J14" s="3083">
        <v>22580.6</v>
      </c>
      <c r="K14" s="712"/>
    </row>
    <row r="15" spans="2:12">
      <c r="B15" s="659" t="s">
        <v>876</v>
      </c>
      <c r="F15" s="3084">
        <v>8.0999999999999996E-4</v>
      </c>
      <c r="G15" s="710"/>
      <c r="H15" s="3406">
        <v>8.0999999999999996E-4</v>
      </c>
      <c r="I15" s="801"/>
      <c r="J15" s="3084">
        <v>1.0370000000000001E-2</v>
      </c>
      <c r="K15" s="712"/>
    </row>
    <row r="16" spans="2:12">
      <c r="B16" s="801" t="s">
        <v>460</v>
      </c>
      <c r="F16" s="3085">
        <v>1.8</v>
      </c>
      <c r="G16" s="3407"/>
      <c r="H16" s="3408">
        <v>1.8</v>
      </c>
      <c r="I16" s="896"/>
      <c r="J16" s="3085">
        <v>17.788</v>
      </c>
      <c r="K16" s="712"/>
    </row>
    <row r="17" spans="2:11">
      <c r="B17" s="399"/>
      <c r="J17" s="712"/>
      <c r="K17" s="405"/>
    </row>
    <row r="18" spans="2:11">
      <c r="B18" s="872"/>
      <c r="C18" s="1334"/>
      <c r="D18" s="1334"/>
      <c r="E18" s="1334"/>
      <c r="F18" s="1334"/>
      <c r="G18" s="1334"/>
      <c r="H18" s="1334"/>
      <c r="I18" s="1334"/>
      <c r="J18" s="3102"/>
      <c r="K18" s="872"/>
    </row>
    <row r="19" spans="2:11">
      <c r="B19" s="872"/>
      <c r="C19" s="1334"/>
      <c r="D19" s="1334"/>
      <c r="E19" s="1334"/>
      <c r="F19" s="1334"/>
      <c r="G19" s="1334"/>
      <c r="H19" s="1334"/>
      <c r="I19" s="1334"/>
      <c r="J19" s="3102"/>
      <c r="K19" s="872"/>
    </row>
    <row r="20" spans="2:11" ht="18">
      <c r="B20" s="873" t="s">
        <v>461</v>
      </c>
      <c r="C20" s="874"/>
      <c r="D20" s="874"/>
      <c r="E20" s="1334"/>
      <c r="F20" s="1334"/>
      <c r="G20" s="1334"/>
      <c r="H20" s="1334"/>
      <c r="I20" s="1334"/>
      <c r="J20" s="3102"/>
      <c r="K20" s="872"/>
    </row>
    <row r="21" spans="2:11">
      <c r="B21" s="872"/>
      <c r="C21" s="1334"/>
      <c r="D21" s="1334"/>
      <c r="E21" s="1334"/>
      <c r="F21" s="1334"/>
      <c r="G21" s="619"/>
      <c r="H21" s="619" t="str">
        <f>F10</f>
        <v>APRIL 2021</v>
      </c>
      <c r="I21" s="2131"/>
      <c r="J21" s="3496" t="s">
        <v>1429</v>
      </c>
      <c r="K21" s="872"/>
    </row>
    <row r="22" spans="2:11">
      <c r="B22" s="872"/>
      <c r="C22" s="875" t="s">
        <v>462</v>
      </c>
      <c r="D22" s="1334"/>
      <c r="E22" s="1335" t="s">
        <v>14</v>
      </c>
      <c r="F22" s="1334"/>
      <c r="G22" s="876"/>
      <c r="H22" s="1941" t="s">
        <v>463</v>
      </c>
      <c r="I22" s="876"/>
      <c r="J22" s="3497" t="s">
        <v>463</v>
      </c>
      <c r="K22" s="872"/>
    </row>
    <row r="23" spans="2:11">
      <c r="B23" s="872"/>
      <c r="C23" s="1335" t="s">
        <v>464</v>
      </c>
      <c r="D23" s="1334"/>
      <c r="E23" s="1334"/>
      <c r="F23" s="1334"/>
      <c r="G23" s="1336"/>
      <c r="H23" s="1337">
        <v>10728.7</v>
      </c>
      <c r="I23" s="1336"/>
      <c r="J23" s="3669">
        <v>9103.9</v>
      </c>
      <c r="K23" s="872"/>
    </row>
    <row r="24" spans="2:11">
      <c r="B24" s="872"/>
      <c r="C24" s="1335" t="s">
        <v>465</v>
      </c>
      <c r="D24" s="1334"/>
      <c r="E24" s="1334"/>
      <c r="F24" s="1334"/>
      <c r="G24" s="1336"/>
      <c r="H24" s="1338">
        <v>17.899999999999999</v>
      </c>
      <c r="I24" s="1336"/>
      <c r="J24" s="3670">
        <v>20.9</v>
      </c>
      <c r="K24" s="872"/>
    </row>
    <row r="25" spans="2:11">
      <c r="B25" s="872"/>
      <c r="C25" s="1335" t="s">
        <v>1401</v>
      </c>
      <c r="D25" s="1334"/>
      <c r="E25" s="1334"/>
      <c r="F25" s="1334"/>
      <c r="G25" s="1336"/>
      <c r="H25" s="1338">
        <v>0</v>
      </c>
      <c r="I25" s="1336"/>
      <c r="J25" s="3670">
        <v>1599</v>
      </c>
      <c r="K25" s="872"/>
    </row>
    <row r="26" spans="2:11">
      <c r="B26" s="872"/>
      <c r="C26" s="1335" t="s">
        <v>466</v>
      </c>
      <c r="D26" s="1334"/>
      <c r="E26" s="1334"/>
      <c r="F26" s="1334"/>
      <c r="G26" s="1339"/>
      <c r="H26" s="1338">
        <v>17660.900000000001</v>
      </c>
      <c r="I26" s="1339"/>
      <c r="J26" s="3671">
        <v>13558.7</v>
      </c>
      <c r="K26" s="872" t="s">
        <v>14</v>
      </c>
    </row>
    <row r="27" spans="2:11">
      <c r="B27" s="872"/>
      <c r="C27" s="1335" t="s">
        <v>467</v>
      </c>
      <c r="D27" s="1334"/>
      <c r="E27" s="1334"/>
      <c r="F27" s="1334"/>
      <c r="G27" s="1339"/>
      <c r="H27" s="1338">
        <v>1963.5</v>
      </c>
      <c r="I27" s="1339"/>
      <c r="J27" s="3671">
        <v>2941.1</v>
      </c>
      <c r="K27" s="872" t="s">
        <v>14</v>
      </c>
    </row>
    <row r="28" spans="2:11">
      <c r="B28" s="872"/>
      <c r="C28" s="877" t="s">
        <v>757</v>
      </c>
      <c r="D28" s="1334"/>
      <c r="E28" s="1334"/>
      <c r="F28" s="1334"/>
      <c r="G28" s="1340"/>
      <c r="H28" s="1338">
        <v>923</v>
      </c>
      <c r="I28" s="1340"/>
      <c r="J28" s="3671">
        <v>48</v>
      </c>
      <c r="K28" s="872"/>
    </row>
    <row r="29" spans="2:11" ht="16" thickBot="1">
      <c r="B29" s="872"/>
      <c r="C29" s="1334"/>
      <c r="D29" s="1334"/>
      <c r="E29" s="1334"/>
      <c r="F29" s="1334"/>
      <c r="G29" s="404"/>
      <c r="H29" s="1889">
        <f>ROUND(SUM(H23:H28),1)</f>
        <v>31294</v>
      </c>
      <c r="I29" s="404"/>
      <c r="J29" s="3418">
        <f>ROUND(SUM(J23:J28),1)</f>
        <v>27271.599999999999</v>
      </c>
      <c r="K29" s="872"/>
    </row>
    <row r="30" spans="2:11" ht="16" thickTop="1">
      <c r="B30" s="399"/>
      <c r="G30" s="1341"/>
      <c r="H30" s="1341"/>
      <c r="I30" s="1341"/>
      <c r="J30" s="712"/>
      <c r="K30" s="399"/>
    </row>
    <row r="31" spans="2:11">
      <c r="B31" s="399"/>
      <c r="K31" s="399"/>
    </row>
    <row r="32" spans="2:11">
      <c r="B32" s="403"/>
      <c r="K32" s="399"/>
    </row>
    <row r="33" spans="2:12" ht="192.75" customHeight="1">
      <c r="B33" s="3959" t="s">
        <v>1387</v>
      </c>
      <c r="C33" s="3959"/>
      <c r="D33" s="3959"/>
      <c r="E33" s="3959"/>
      <c r="F33" s="3959"/>
      <c r="G33" s="3959"/>
      <c r="H33" s="3959"/>
      <c r="I33" s="3959"/>
      <c r="J33" s="3959"/>
      <c r="K33" s="399"/>
    </row>
    <row r="35" spans="2:12" ht="15" customHeight="1">
      <c r="B35" s="646" t="s">
        <v>879</v>
      </c>
      <c r="C35" s="711"/>
      <c r="D35" s="711"/>
      <c r="E35" s="711"/>
      <c r="F35" s="711"/>
      <c r="G35" s="711"/>
      <c r="H35" s="711"/>
      <c r="I35" s="711"/>
      <c r="J35" s="711"/>
      <c r="K35" s="711"/>
      <c r="L35" s="711"/>
    </row>
    <row r="36" spans="2:12" ht="17.25" customHeight="1">
      <c r="B36" s="709"/>
      <c r="C36" s="712"/>
      <c r="D36" s="712"/>
      <c r="E36" s="712"/>
      <c r="F36" s="712"/>
      <c r="G36" s="712"/>
      <c r="H36" s="712"/>
      <c r="I36" s="712"/>
      <c r="J36" s="712"/>
      <c r="K36" s="712"/>
      <c r="L36" s="405"/>
    </row>
    <row r="37" spans="2:12">
      <c r="B37" s="801"/>
      <c r="C37" s="801"/>
      <c r="D37" s="712"/>
      <c r="E37" s="712"/>
      <c r="F37" s="712"/>
      <c r="G37" s="712"/>
      <c r="H37" s="712"/>
      <c r="I37" s="712"/>
      <c r="J37" s="712"/>
      <c r="K37" s="712"/>
      <c r="L37" s="405"/>
    </row>
    <row r="38" spans="2:12">
      <c r="B38" s="709"/>
      <c r="C38" s="710"/>
      <c r="D38" s="712"/>
      <c r="E38" s="712"/>
      <c r="F38" s="712"/>
      <c r="G38" s="712"/>
      <c r="H38" s="712"/>
      <c r="I38" s="712"/>
      <c r="J38" s="712"/>
      <c r="K38" s="712"/>
      <c r="L38" s="405"/>
    </row>
    <row r="39" spans="2:12">
      <c r="B39" s="399"/>
      <c r="C39" s="801" t="s">
        <v>14</v>
      </c>
      <c r="D39" s="399"/>
      <c r="E39" s="399"/>
      <c r="F39" s="399"/>
      <c r="G39" s="399"/>
      <c r="H39" s="399"/>
      <c r="I39" s="399"/>
      <c r="J39" s="399"/>
    </row>
    <row r="40" spans="2:12">
      <c r="C40" s="801" t="s">
        <v>14</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50" workbookViewId="0"/>
  </sheetViews>
  <sheetFormatPr defaultColWidth="8.765625" defaultRowHeight="15.5"/>
  <cols>
    <col min="1" max="1" width="45.4609375" style="1727" customWidth="1"/>
    <col min="2" max="2" width="17" style="1555" customWidth="1"/>
    <col min="3" max="3" width="1.765625" style="1555" customWidth="1"/>
    <col min="4" max="4" width="17" style="1555" customWidth="1"/>
    <col min="5" max="5" width="1.765625" style="1554" customWidth="1"/>
    <col min="6" max="6" width="17" style="1555" customWidth="1"/>
    <col min="7" max="7" width="1.765625" style="1554" customWidth="1"/>
    <col min="8" max="8" width="17" style="1555" customWidth="1"/>
    <col min="9" max="9" width="1.765625" style="1778" customWidth="1"/>
    <col min="10" max="10" width="17" style="1732" customWidth="1"/>
    <col min="11" max="11" width="1.765625" style="1732" customWidth="1"/>
    <col min="12" max="12" width="17" style="1732" customWidth="1"/>
    <col min="13" max="13" width="1.765625" style="1778" customWidth="1"/>
    <col min="14" max="14" width="17" style="1732" customWidth="1"/>
    <col min="15" max="15" width="1.765625" style="1778" customWidth="1"/>
    <col min="16" max="16" width="17" style="1732" customWidth="1"/>
    <col min="17" max="17" width="1.765625" style="1778" customWidth="1"/>
    <col min="18" max="18" width="17" style="1732" customWidth="1"/>
    <col min="19" max="19" width="1.765625" style="1778" customWidth="1"/>
    <col min="20" max="20" width="17" style="1732" customWidth="1"/>
    <col min="21" max="21" width="1.765625" style="1778" customWidth="1"/>
    <col min="22" max="22" width="17" style="1732" customWidth="1"/>
    <col min="23" max="23" width="1.765625" style="1778" customWidth="1"/>
    <col min="24" max="24" width="17" style="1732" customWidth="1"/>
    <col min="25" max="25" width="1.765625" style="1778" customWidth="1"/>
    <col min="26" max="26" width="22.53515625" style="1779" customWidth="1"/>
    <col min="27" max="27" width="1.53515625" style="1745" customWidth="1"/>
    <col min="28" max="28" width="18.765625" style="1727" bestFit="1" customWidth="1"/>
    <col min="29" max="29" width="12.765625" style="1727" bestFit="1" customWidth="1"/>
    <col min="30" max="16384" width="8.765625" style="1727"/>
  </cols>
  <sheetData>
    <row r="1" spans="1:40">
      <c r="A1" s="1493" t="s">
        <v>885</v>
      </c>
      <c r="B1" s="1302"/>
      <c r="C1" s="1302"/>
      <c r="D1" s="1302"/>
      <c r="E1" s="1302"/>
      <c r="F1" s="1302"/>
      <c r="G1" s="1302"/>
      <c r="H1" s="1302"/>
      <c r="I1" s="1726"/>
      <c r="J1" s="1726"/>
      <c r="K1" s="1726"/>
      <c r="L1" s="1726"/>
      <c r="M1" s="1726"/>
      <c r="N1" s="1726"/>
      <c r="O1" s="1726"/>
      <c r="P1" s="1726"/>
      <c r="Q1" s="1726"/>
      <c r="R1" s="1726"/>
      <c r="S1" s="1726"/>
      <c r="T1" s="1726"/>
      <c r="U1" s="1726"/>
      <c r="V1" s="1726"/>
      <c r="W1" s="1726"/>
      <c r="X1" s="1726"/>
      <c r="Y1" s="1726"/>
      <c r="Z1" s="1726"/>
      <c r="AA1" s="3432"/>
      <c r="AB1" s="1726"/>
      <c r="AC1" s="1726"/>
      <c r="AD1" s="1726"/>
      <c r="AE1" s="1726"/>
      <c r="AF1" s="1726"/>
      <c r="AG1" s="1726"/>
    </row>
    <row r="2" spans="1:40">
      <c r="A2" s="1493"/>
      <c r="B2" s="1302"/>
      <c r="C2" s="1302"/>
      <c r="D2" s="1302"/>
      <c r="E2" s="1302"/>
      <c r="F2" s="1302"/>
      <c r="G2" s="1302"/>
      <c r="H2" s="1302"/>
      <c r="I2" s="1726"/>
      <c r="J2" s="1726"/>
      <c r="K2" s="1726"/>
      <c r="L2" s="1726"/>
      <c r="M2" s="1726"/>
      <c r="N2" s="1726"/>
      <c r="O2" s="1726"/>
      <c r="P2" s="1726"/>
      <c r="Q2" s="1726"/>
      <c r="R2" s="1726"/>
      <c r="S2" s="1726"/>
      <c r="T2" s="1726"/>
      <c r="U2" s="1726"/>
      <c r="V2" s="1726"/>
      <c r="W2" s="1726"/>
      <c r="X2" s="1726"/>
      <c r="Y2" s="1726"/>
      <c r="Z2" s="1726"/>
      <c r="AA2" s="3432"/>
      <c r="AB2" s="1726"/>
      <c r="AC2" s="1726"/>
      <c r="AD2" s="1726"/>
      <c r="AE2" s="1726"/>
      <c r="AF2" s="1726"/>
      <c r="AG2" s="1726"/>
    </row>
    <row r="3" spans="1:40" ht="17.899999999999999" customHeight="1">
      <c r="A3" s="1728" t="s">
        <v>0</v>
      </c>
      <c r="B3" s="479"/>
      <c r="C3" s="479"/>
      <c r="D3" s="480"/>
      <c r="E3" s="481"/>
      <c r="F3" s="480"/>
      <c r="G3" s="481"/>
      <c r="H3" s="480"/>
      <c r="I3" s="1731"/>
      <c r="K3" s="1729"/>
      <c r="L3" s="1733"/>
      <c r="M3" s="1729"/>
      <c r="N3" s="1730"/>
      <c r="O3" s="1731"/>
      <c r="P3" s="1730"/>
      <c r="Q3" s="1731"/>
      <c r="R3" s="1730"/>
      <c r="S3" s="1731"/>
      <c r="T3" s="1730"/>
      <c r="U3" s="1731"/>
      <c r="V3" s="1730"/>
      <c r="W3" s="1731"/>
      <c r="X3" s="1730"/>
      <c r="Y3" s="1731"/>
      <c r="Z3" s="1734" t="s">
        <v>468</v>
      </c>
      <c r="AA3" s="3433"/>
      <c r="AC3" s="1729"/>
      <c r="AE3" s="1729"/>
    </row>
    <row r="4" spans="1:40" ht="17.899999999999999" customHeight="1">
      <c r="A4" s="1728" t="s">
        <v>469</v>
      </c>
      <c r="B4" s="1303"/>
      <c r="C4" s="1303"/>
      <c r="D4" s="483"/>
      <c r="E4" s="481"/>
      <c r="F4" s="1303"/>
      <c r="G4" s="481"/>
      <c r="H4" s="1303"/>
      <c r="I4" s="1731"/>
      <c r="J4" s="1735"/>
      <c r="K4" s="1735"/>
      <c r="L4" s="1735"/>
      <c r="M4" s="1736"/>
      <c r="N4" s="1735"/>
      <c r="O4" s="1731"/>
      <c r="P4" s="1735"/>
      <c r="Q4" s="1731"/>
      <c r="R4" s="1735"/>
      <c r="S4" s="1731"/>
      <c r="T4" s="1735"/>
      <c r="U4" s="1731"/>
      <c r="V4" s="1735"/>
      <c r="W4" s="1731"/>
      <c r="X4" s="1735"/>
      <c r="Y4" s="1731"/>
      <c r="Z4" s="1737"/>
      <c r="AA4" s="3433"/>
      <c r="AC4" s="1729"/>
    </row>
    <row r="5" spans="1:40" ht="17.899999999999999" customHeight="1">
      <c r="A5" s="1738" t="s">
        <v>1084</v>
      </c>
      <c r="B5" s="1303"/>
      <c r="C5" s="1303"/>
      <c r="D5" s="1303"/>
      <c r="E5" s="481"/>
      <c r="F5" s="1303"/>
      <c r="G5" s="481"/>
      <c r="H5" s="1303"/>
      <c r="I5" s="1731"/>
      <c r="J5" s="1735"/>
      <c r="K5" s="1735"/>
      <c r="L5" s="1735"/>
      <c r="M5" s="1736"/>
      <c r="N5" s="1735"/>
      <c r="O5" s="1731"/>
      <c r="P5" s="1735"/>
      <c r="Q5" s="1731"/>
      <c r="R5" s="1735"/>
      <c r="S5" s="1731"/>
      <c r="T5" s="1735"/>
      <c r="U5" s="1731"/>
      <c r="V5" s="1735"/>
      <c r="W5" s="1731"/>
      <c r="X5" s="1735"/>
      <c r="Y5" s="1731"/>
      <c r="Z5" s="1737"/>
    </row>
    <row r="6" spans="1:40" ht="17.899999999999999" customHeight="1">
      <c r="A6" s="1739" t="str">
        <f>'Cashflow Governmental'!A6</f>
        <v xml:space="preserve">FISCAL YEAR 2021-2022   </v>
      </c>
      <c r="B6" s="1303"/>
      <c r="C6" s="1303"/>
      <c r="D6" s="488"/>
      <c r="E6" s="481"/>
      <c r="F6" s="1303"/>
      <c r="G6" s="481"/>
      <c r="H6" s="1303"/>
      <c r="I6" s="1731"/>
      <c r="J6" s="1735"/>
      <c r="K6" s="1735"/>
      <c r="L6" s="1735"/>
      <c r="M6" s="1736"/>
      <c r="N6" s="1735"/>
      <c r="O6" s="1731"/>
      <c r="P6" s="1735"/>
      <c r="Q6" s="1731"/>
      <c r="R6" s="1735"/>
      <c r="S6" s="1731"/>
      <c r="T6" s="1735"/>
      <c r="U6" s="1731"/>
      <c r="V6" s="1735"/>
      <c r="W6" s="1731"/>
      <c r="X6" s="1735"/>
      <c r="Y6" s="1731"/>
      <c r="Z6" s="1737"/>
    </row>
    <row r="7" spans="1:40" ht="18">
      <c r="A7" s="1740"/>
      <c r="B7" s="1303"/>
      <c r="C7" s="1303"/>
      <c r="D7" s="1303"/>
      <c r="E7" s="481"/>
      <c r="F7" s="1303"/>
      <c r="G7" s="481"/>
      <c r="H7" s="1303"/>
      <c r="I7" s="1731"/>
      <c r="J7" s="1735"/>
      <c r="K7" s="1735"/>
      <c r="L7" s="1735"/>
      <c r="M7" s="1736"/>
      <c r="N7" s="1735"/>
      <c r="O7" s="1731"/>
      <c r="P7" s="1735"/>
      <c r="Q7" s="1731"/>
      <c r="R7" s="1741"/>
      <c r="S7" s="1731"/>
      <c r="T7" s="1741"/>
      <c r="U7" s="1731"/>
      <c r="V7" s="1741"/>
      <c r="W7" s="1731"/>
      <c r="X7" s="1741"/>
      <c r="Y7" s="1731"/>
      <c r="Z7" s="1737"/>
    </row>
    <row r="8" spans="1:40">
      <c r="A8" s="1742"/>
      <c r="B8" s="1303"/>
      <c r="C8" s="1303"/>
      <c r="D8" s="1303"/>
      <c r="E8" s="481"/>
      <c r="F8" s="1303"/>
      <c r="G8" s="481"/>
      <c r="H8" s="1303"/>
      <c r="I8" s="1731"/>
      <c r="J8" s="1735"/>
      <c r="K8" s="1735"/>
      <c r="L8" s="1735"/>
      <c r="M8" s="1731"/>
      <c r="N8" s="1735"/>
      <c r="O8" s="1731"/>
      <c r="P8" s="1735"/>
      <c r="Q8" s="1731"/>
      <c r="R8" s="1735"/>
      <c r="S8" s="1731"/>
      <c r="T8" s="1735"/>
      <c r="U8" s="1731"/>
      <c r="V8" s="1735"/>
      <c r="W8" s="1731"/>
      <c r="X8" s="1735"/>
      <c r="Y8" s="1731"/>
      <c r="Z8" s="1743"/>
      <c r="AA8" s="1744"/>
    </row>
    <row r="9" spans="1:40">
      <c r="A9" s="1745"/>
      <c r="B9" s="903" t="str">
        <f>'Cashflow Governmental'!C13</f>
        <v>2021</v>
      </c>
      <c r="C9" s="491"/>
      <c r="D9" s="491"/>
      <c r="E9" s="484"/>
      <c r="F9" s="491"/>
      <c r="G9" s="484"/>
      <c r="H9" s="491"/>
      <c r="I9" s="1736"/>
      <c r="J9" s="1747"/>
      <c r="K9" s="1747"/>
      <c r="L9" s="1748"/>
      <c r="M9" s="1736"/>
      <c r="N9" s="1748"/>
      <c r="O9" s="1736"/>
      <c r="P9" s="1748"/>
      <c r="Q9" s="1736"/>
      <c r="R9" s="1748"/>
      <c r="S9" s="1736"/>
      <c r="T9" s="1746">
        <f>'Cashflow Governmental'!U13</f>
        <v>2022</v>
      </c>
      <c r="U9" s="1736"/>
      <c r="V9" s="1748"/>
      <c r="W9" s="1736"/>
      <c r="X9" s="1748"/>
      <c r="Y9" s="1736"/>
      <c r="Z9" s="1749" t="s">
        <v>1430</v>
      </c>
      <c r="AA9" s="1749"/>
    </row>
    <row r="10" spans="1:40">
      <c r="A10" s="1745"/>
      <c r="B10" s="494" t="s">
        <v>123</v>
      </c>
      <c r="C10" s="495"/>
      <c r="D10" s="492" t="s">
        <v>124</v>
      </c>
      <c r="E10" s="484"/>
      <c r="F10" s="492" t="s">
        <v>125</v>
      </c>
      <c r="G10" s="484"/>
      <c r="H10" s="492" t="s">
        <v>126</v>
      </c>
      <c r="I10" s="1736"/>
      <c r="J10" s="1927" t="s">
        <v>127</v>
      </c>
      <c r="K10" s="496"/>
      <c r="L10" s="1748" t="s">
        <v>142</v>
      </c>
      <c r="M10" s="1736"/>
      <c r="N10" s="1748" t="s">
        <v>143</v>
      </c>
      <c r="O10" s="1736"/>
      <c r="P10" s="1748" t="s">
        <v>130</v>
      </c>
      <c r="Q10" s="1736"/>
      <c r="R10" s="1748" t="s">
        <v>131</v>
      </c>
      <c r="S10" s="1736"/>
      <c r="T10" s="1748" t="s">
        <v>132</v>
      </c>
      <c r="U10" s="1736"/>
      <c r="V10" s="1748" t="s">
        <v>133</v>
      </c>
      <c r="W10" s="1736"/>
      <c r="X10" s="1748" t="s">
        <v>184</v>
      </c>
      <c r="Y10" s="1736"/>
      <c r="Z10" s="1750">
        <v>44316</v>
      </c>
      <c r="AA10" s="1750"/>
    </row>
    <row r="11" spans="1:40">
      <c r="A11" s="1745"/>
      <c r="B11" s="1855" t="s">
        <v>14</v>
      </c>
      <c r="C11" s="1307"/>
      <c r="D11" s="1855"/>
      <c r="E11" s="1308"/>
      <c r="F11" s="1855"/>
      <c r="G11" s="1308"/>
      <c r="H11" s="1855"/>
      <c r="I11" s="1753"/>
      <c r="J11" s="1751"/>
      <c r="K11" s="496"/>
      <c r="L11" s="1751"/>
      <c r="M11" s="1753"/>
      <c r="N11" s="1751"/>
      <c r="O11" s="1753"/>
      <c r="P11" s="1751"/>
      <c r="Q11" s="1753"/>
      <c r="R11" s="1751"/>
      <c r="S11" s="1753"/>
      <c r="T11" s="1751"/>
      <c r="U11" s="1753"/>
      <c r="V11" s="1751"/>
      <c r="W11" s="1753"/>
      <c r="X11" s="1751"/>
      <c r="Y11" s="1753"/>
      <c r="Z11" s="1754" t="s">
        <v>14</v>
      </c>
      <c r="AB11" s="1755"/>
      <c r="AC11" s="1755"/>
      <c r="AD11" s="1755"/>
      <c r="AE11" s="1755"/>
      <c r="AF11" s="1755"/>
      <c r="AG11" s="1755"/>
      <c r="AH11" s="1755"/>
      <c r="AI11" s="1755"/>
      <c r="AJ11" s="1755"/>
      <c r="AK11" s="1755"/>
      <c r="AL11" s="1755"/>
      <c r="AM11" s="1755"/>
      <c r="AN11" s="1755"/>
    </row>
    <row r="12" spans="1:40" s="1757" customFormat="1">
      <c r="A12" s="510" t="s">
        <v>470</v>
      </c>
      <c r="B12" s="499">
        <v>15864357</v>
      </c>
      <c r="C12" s="500"/>
      <c r="D12" s="499"/>
      <c r="E12" s="1309"/>
      <c r="F12" s="499"/>
      <c r="G12" s="1309"/>
      <c r="H12" s="499"/>
      <c r="I12" s="1756"/>
      <c r="J12" s="499"/>
      <c r="K12" s="501"/>
      <c r="L12" s="512"/>
      <c r="M12" s="511"/>
      <c r="N12" s="512"/>
      <c r="O12" s="512"/>
      <c r="P12" s="512"/>
      <c r="Q12" s="512"/>
      <c r="R12" s="512"/>
      <c r="S12" s="512"/>
      <c r="T12" s="512"/>
      <c r="U12" s="512"/>
      <c r="V12" s="512"/>
      <c r="W12" s="512"/>
      <c r="X12" s="512"/>
      <c r="Y12" s="512"/>
      <c r="Z12" s="512">
        <f>+B12</f>
        <v>15864357</v>
      </c>
      <c r="AA12" s="3434"/>
    </row>
    <row r="13" spans="1:40">
      <c r="A13" s="1758"/>
      <c r="B13" s="1311"/>
      <c r="C13" s="1312"/>
      <c r="D13" s="1311"/>
      <c r="E13" s="1311"/>
      <c r="F13" s="1311"/>
      <c r="G13" s="1311"/>
      <c r="H13" s="1311"/>
      <c r="I13" s="1321"/>
      <c r="J13" s="1321"/>
      <c r="K13" s="496"/>
      <c r="L13" s="1321"/>
      <c r="M13" s="1321"/>
      <c r="N13" s="1321"/>
      <c r="O13" s="1321"/>
      <c r="P13" s="1321"/>
      <c r="Q13" s="1321"/>
      <c r="R13" s="1321"/>
      <c r="S13" s="1321"/>
      <c r="T13" s="1321"/>
      <c r="U13" s="1321"/>
      <c r="V13" s="1321"/>
      <c r="W13" s="1321"/>
      <c r="X13" s="1321"/>
      <c r="Y13" s="1321"/>
      <c r="Z13" s="1760"/>
    </row>
    <row r="14" spans="1:40">
      <c r="A14" s="509" t="s">
        <v>13</v>
      </c>
      <c r="B14" s="1311"/>
      <c r="C14" s="1312"/>
      <c r="D14" s="1311"/>
      <c r="E14" s="1311"/>
      <c r="F14" s="1311"/>
      <c r="G14" s="1311"/>
      <c r="H14" s="1311"/>
      <c r="I14" s="1321"/>
      <c r="J14" s="1321"/>
      <c r="K14" s="1321"/>
      <c r="L14" s="1321"/>
      <c r="M14" s="1321"/>
      <c r="N14" s="1321"/>
      <c r="O14" s="1321"/>
      <c r="P14" s="1321"/>
      <c r="Q14" s="1321"/>
      <c r="R14" s="1321"/>
      <c r="S14" s="1321"/>
      <c r="T14" s="1321"/>
      <c r="U14" s="1321"/>
      <c r="V14" s="1321"/>
      <c r="W14" s="1321"/>
      <c r="X14" s="1321"/>
      <c r="Y14" s="1321"/>
      <c r="Z14" s="1760"/>
    </row>
    <row r="15" spans="1:40">
      <c r="A15" s="813" t="s">
        <v>471</v>
      </c>
      <c r="B15" s="1314">
        <f t="shared" ref="B15:B24" si="0">$Z15</f>
        <v>69708587</v>
      </c>
      <c r="C15" s="1315"/>
      <c r="D15" s="1314"/>
      <c r="E15" s="1314"/>
      <c r="F15" s="1314"/>
      <c r="G15" s="1314"/>
      <c r="H15" s="1314"/>
      <c r="I15" s="1319"/>
      <c r="J15" s="1314"/>
      <c r="K15" s="1319"/>
      <c r="L15" s="1314"/>
      <c r="M15" s="1321"/>
      <c r="N15" s="1319"/>
      <c r="O15" s="1319"/>
      <c r="P15" s="1319"/>
      <c r="Q15" s="1319"/>
      <c r="R15" s="1319"/>
      <c r="S15" s="1319"/>
      <c r="T15" s="1319"/>
      <c r="U15" s="1319"/>
      <c r="V15" s="1319"/>
      <c r="W15" s="1319"/>
      <c r="X15" s="1319"/>
      <c r="Y15" s="1319"/>
      <c r="Z15" s="1319">
        <v>69708587</v>
      </c>
    </row>
    <row r="16" spans="1:40">
      <c r="A16" s="813" t="s">
        <v>1377</v>
      </c>
      <c r="B16" s="1314">
        <f t="shared" si="0"/>
        <v>1648000</v>
      </c>
      <c r="C16" s="1315"/>
      <c r="D16" s="1314"/>
      <c r="E16" s="1314"/>
      <c r="F16" s="1314"/>
      <c r="G16" s="1314"/>
      <c r="H16" s="1314"/>
      <c r="I16" s="1319"/>
      <c r="J16" s="1314"/>
      <c r="K16" s="1319"/>
      <c r="L16" s="1314"/>
      <c r="M16" s="1321"/>
      <c r="N16" s="1319"/>
      <c r="O16" s="1319"/>
      <c r="P16" s="1319"/>
      <c r="Q16" s="1319"/>
      <c r="R16" s="1319"/>
      <c r="S16" s="1319"/>
      <c r="T16" s="1319"/>
      <c r="U16" s="1319"/>
      <c r="V16" s="1319"/>
      <c r="W16" s="1319"/>
      <c r="X16" s="1319"/>
      <c r="Y16" s="1319"/>
      <c r="Z16" s="1319">
        <v>1648000</v>
      </c>
    </row>
    <row r="17" spans="1:28">
      <c r="A17" s="813" t="s">
        <v>1369</v>
      </c>
      <c r="B17" s="1314">
        <f t="shared" si="0"/>
        <v>195233</v>
      </c>
      <c r="C17" s="1315"/>
      <c r="D17" s="1314"/>
      <c r="E17" s="1314"/>
      <c r="F17" s="1314"/>
      <c r="G17" s="1314"/>
      <c r="H17" s="1314"/>
      <c r="I17" s="1319"/>
      <c r="J17" s="1314"/>
      <c r="K17" s="1319"/>
      <c r="L17" s="1314"/>
      <c r="M17" s="1321"/>
      <c r="N17" s="1319"/>
      <c r="O17" s="1319"/>
      <c r="P17" s="1319"/>
      <c r="Q17" s="1319"/>
      <c r="R17" s="1319"/>
      <c r="S17" s="1319"/>
      <c r="T17" s="1319"/>
      <c r="U17" s="1319"/>
      <c r="V17" s="1319"/>
      <c r="W17" s="1319"/>
      <c r="X17" s="1319"/>
      <c r="Y17" s="1319"/>
      <c r="Z17" s="1319">
        <v>195233</v>
      </c>
    </row>
    <row r="18" spans="1:28">
      <c r="A18" s="813" t="s">
        <v>472</v>
      </c>
      <c r="B18" s="1314">
        <f t="shared" si="0"/>
        <v>25976</v>
      </c>
      <c r="C18" s="1315"/>
      <c r="D18" s="1314"/>
      <c r="E18" s="1314"/>
      <c r="F18" s="1314"/>
      <c r="G18" s="1314"/>
      <c r="H18" s="1314"/>
      <c r="I18" s="1319"/>
      <c r="J18" s="1314"/>
      <c r="K18" s="1319"/>
      <c r="L18" s="1314"/>
      <c r="M18" s="1321"/>
      <c r="N18" s="1319"/>
      <c r="O18" s="1319"/>
      <c r="P18" s="1319"/>
      <c r="Q18" s="1319"/>
      <c r="R18" s="1319"/>
      <c r="S18" s="1319"/>
      <c r="T18" s="1319"/>
      <c r="U18" s="1319"/>
      <c r="V18" s="1319"/>
      <c r="W18" s="1319"/>
      <c r="X18" s="1319"/>
      <c r="Y18" s="1319"/>
      <c r="Z18" s="1319">
        <v>25976</v>
      </c>
    </row>
    <row r="19" spans="1:28">
      <c r="A19" s="813" t="s">
        <v>473</v>
      </c>
      <c r="B19" s="1314">
        <f t="shared" si="0"/>
        <v>0</v>
      </c>
      <c r="C19" s="1317"/>
      <c r="D19" s="1314"/>
      <c r="E19" s="1856"/>
      <c r="F19" s="1314"/>
      <c r="G19" s="1856"/>
      <c r="H19" s="1314"/>
      <c r="I19" s="1319"/>
      <c r="J19" s="1314"/>
      <c r="K19" s="1761"/>
      <c r="L19" s="1314"/>
      <c r="M19" s="1321"/>
      <c r="N19" s="1319"/>
      <c r="O19" s="1319"/>
      <c r="P19" s="1319"/>
      <c r="Q19" s="1319"/>
      <c r="R19" s="1319"/>
      <c r="S19" s="1319"/>
      <c r="T19" s="1319"/>
      <c r="U19" s="1319"/>
      <c r="V19" s="1319"/>
      <c r="W19" s="1319"/>
      <c r="X19" s="1319"/>
      <c r="Y19" s="1319"/>
      <c r="Z19" s="1325">
        <v>0</v>
      </c>
    </row>
    <row r="20" spans="1:28">
      <c r="A20" s="813" t="s">
        <v>474</v>
      </c>
      <c r="B20" s="1314">
        <f t="shared" si="0"/>
        <v>414748474</v>
      </c>
      <c r="C20" s="1315"/>
      <c r="D20" s="1314"/>
      <c r="E20" s="1314"/>
      <c r="F20" s="1314"/>
      <c r="G20" s="1314"/>
      <c r="H20" s="1314"/>
      <c r="I20" s="1319"/>
      <c r="J20" s="1314"/>
      <c r="K20" s="1319"/>
      <c r="L20" s="1314"/>
      <c r="M20" s="1321"/>
      <c r="N20" s="1319"/>
      <c r="O20" s="1319"/>
      <c r="P20" s="1319"/>
      <c r="Q20" s="1319"/>
      <c r="R20" s="1319"/>
      <c r="S20" s="1319"/>
      <c r="T20" s="1319"/>
      <c r="U20" s="1319"/>
      <c r="V20" s="1319"/>
      <c r="W20" s="1319"/>
      <c r="X20" s="1319"/>
      <c r="Y20" s="1319"/>
      <c r="Z20" s="1319">
        <v>414748474</v>
      </c>
    </row>
    <row r="21" spans="1:28">
      <c r="A21" s="813" t="s">
        <v>475</v>
      </c>
      <c r="B21" s="1314">
        <f t="shared" si="0"/>
        <v>279000</v>
      </c>
      <c r="C21" s="1317"/>
      <c r="D21" s="1314"/>
      <c r="E21" s="1314"/>
      <c r="F21" s="1314"/>
      <c r="G21" s="1314"/>
      <c r="H21" s="1314"/>
      <c r="I21" s="1319"/>
      <c r="J21" s="1314"/>
      <c r="K21" s="1322"/>
      <c r="L21" s="1314"/>
      <c r="M21" s="1321"/>
      <c r="N21" s="1319"/>
      <c r="O21" s="1319"/>
      <c r="P21" s="1319"/>
      <c r="Q21" s="1319"/>
      <c r="R21" s="1319"/>
      <c r="S21" s="1319"/>
      <c r="T21" s="1319"/>
      <c r="U21" s="1319"/>
      <c r="V21" s="1319"/>
      <c r="W21" s="1325"/>
      <c r="X21" s="1319"/>
      <c r="Y21" s="1319"/>
      <c r="Z21" s="1319">
        <v>279000</v>
      </c>
    </row>
    <row r="22" spans="1:28">
      <c r="A22" s="813" t="s">
        <v>476</v>
      </c>
      <c r="B22" s="1314">
        <f t="shared" si="0"/>
        <v>4640806</v>
      </c>
      <c r="C22" s="1317"/>
      <c r="D22" s="1314"/>
      <c r="E22" s="1314"/>
      <c r="F22" s="1314"/>
      <c r="G22" s="1314"/>
      <c r="H22" s="1314"/>
      <c r="I22" s="1319"/>
      <c r="J22" s="1314"/>
      <c r="K22" s="1322"/>
      <c r="L22" s="1314"/>
      <c r="M22" s="1321"/>
      <c r="N22" s="1319"/>
      <c r="O22" s="1319"/>
      <c r="P22" s="1319"/>
      <c r="Q22" s="1319"/>
      <c r="R22" s="1319"/>
      <c r="S22" s="1319"/>
      <c r="T22" s="1319"/>
      <c r="U22" s="1319"/>
      <c r="V22" s="1319"/>
      <c r="W22" s="1325"/>
      <c r="X22" s="1319"/>
      <c r="Y22" s="1319"/>
      <c r="Z22" s="1319">
        <v>4640806</v>
      </c>
    </row>
    <row r="23" spans="1:28">
      <c r="A23" s="813" t="s">
        <v>477</v>
      </c>
      <c r="B23" s="1314">
        <f t="shared" si="0"/>
        <v>0</v>
      </c>
      <c r="C23" s="1317"/>
      <c r="D23" s="1314"/>
      <c r="E23" s="1314"/>
      <c r="F23" s="1314"/>
      <c r="G23" s="1314"/>
      <c r="H23" s="1314"/>
      <c r="I23" s="1319"/>
      <c r="J23" s="1314"/>
      <c r="K23" s="1322"/>
      <c r="L23" s="1314"/>
      <c r="M23" s="1321"/>
      <c r="N23" s="1319"/>
      <c r="O23" s="1319"/>
      <c r="P23" s="1319"/>
      <c r="Q23" s="1319"/>
      <c r="R23" s="1319"/>
      <c r="S23" s="1319"/>
      <c r="T23" s="1319"/>
      <c r="U23" s="1319"/>
      <c r="V23" s="1319"/>
      <c r="W23" s="1325"/>
      <c r="X23" s="1319"/>
      <c r="Y23" s="1319"/>
      <c r="Z23" s="1319">
        <v>0</v>
      </c>
    </row>
    <row r="24" spans="1:28">
      <c r="A24" s="813" t="s">
        <v>478</v>
      </c>
      <c r="B24" s="1314">
        <f t="shared" si="0"/>
        <v>0</v>
      </c>
      <c r="C24" s="1857"/>
      <c r="D24" s="1314"/>
      <c r="E24" s="1314"/>
      <c r="F24" s="1314"/>
      <c r="G24" s="1314"/>
      <c r="H24" s="1314"/>
      <c r="I24" s="1319"/>
      <c r="J24" s="1314"/>
      <c r="K24" s="1319"/>
      <c r="L24" s="1314"/>
      <c r="M24" s="1321"/>
      <c r="N24" s="1319"/>
      <c r="O24" s="1319"/>
      <c r="P24" s="1319"/>
      <c r="Q24" s="1319"/>
      <c r="R24" s="1319"/>
      <c r="S24" s="1319"/>
      <c r="T24" s="1319"/>
      <c r="U24" s="1319"/>
      <c r="V24" s="1319"/>
      <c r="W24" s="1319"/>
      <c r="X24" s="1319"/>
      <c r="Y24" s="1319"/>
      <c r="Z24" s="1319">
        <v>0</v>
      </c>
    </row>
    <row r="25" spans="1:28" s="1757" customFormat="1">
      <c r="A25" s="509" t="s">
        <v>149</v>
      </c>
      <c r="B25" s="1858">
        <f>ROUND(SUM(B15:B24),0)</f>
        <v>491246076</v>
      </c>
      <c r="C25" s="505"/>
      <c r="D25" s="1858">
        <f>ROUND(SUM(D15:D24),0)</f>
        <v>0</v>
      </c>
      <c r="E25" s="506"/>
      <c r="F25" s="1858">
        <f>ROUND(SUM(F15:F24),0)</f>
        <v>0</v>
      </c>
      <c r="G25" s="506"/>
      <c r="H25" s="1858">
        <f>ROUND(SUM(H15:H24),0)</f>
        <v>0</v>
      </c>
      <c r="I25" s="1762"/>
      <c r="J25" s="1725">
        <f>ROUND(SUM(J15:J24),0)</f>
        <v>0</v>
      </c>
      <c r="K25" s="508"/>
      <c r="L25" s="1725">
        <f>ROUND(SUM(L15:L24),0)</f>
        <v>0</v>
      </c>
      <c r="M25" s="511"/>
      <c r="N25" s="1725">
        <f>ROUND(SUM(N15:N24),0)</f>
        <v>0</v>
      </c>
      <c r="O25" s="1762"/>
      <c r="P25" s="1725">
        <f>ROUND(SUM(P15:P24),0)</f>
        <v>0</v>
      </c>
      <c r="Q25" s="1762"/>
      <c r="R25" s="1725">
        <f>ROUND(SUM(R15:R24),0)</f>
        <v>0</v>
      </c>
      <c r="S25" s="1762"/>
      <c r="T25" s="1725">
        <f>ROUND(SUM(T15:T24),0)</f>
        <v>0</v>
      </c>
      <c r="U25" s="1762"/>
      <c r="V25" s="1725">
        <f>ROUND(SUM(V15:V24),0)</f>
        <v>0</v>
      </c>
      <c r="W25" s="1762"/>
      <c r="X25" s="1725">
        <f>ROUND(SUM(X15:X24),0)</f>
        <v>0</v>
      </c>
      <c r="Y25" s="1762"/>
      <c r="Z25" s="507">
        <f>ROUND(SUM(Z15:Z24),0)</f>
        <v>491246076</v>
      </c>
      <c r="AA25" s="3434"/>
      <c r="AB25" s="1763"/>
    </row>
    <row r="26" spans="1:28">
      <c r="A26" s="1758"/>
      <c r="B26" s="1314"/>
      <c r="C26" s="1315"/>
      <c r="D26" s="1314"/>
      <c r="E26" s="1314"/>
      <c r="F26" s="1314"/>
      <c r="G26" s="1314"/>
      <c r="H26" s="1314"/>
      <c r="I26" s="1319"/>
      <c r="J26" s="1319"/>
      <c r="K26" s="1319"/>
      <c r="L26" s="1319"/>
      <c r="M26" s="1321"/>
      <c r="N26" s="1319"/>
      <c r="O26" s="1319"/>
      <c r="P26" s="1319"/>
      <c r="Q26" s="1319"/>
      <c r="R26" s="1319"/>
      <c r="S26" s="1319"/>
      <c r="T26" s="1319"/>
      <c r="U26" s="1319"/>
      <c r="V26" s="1319"/>
      <c r="W26" s="1319"/>
      <c r="X26" s="1319"/>
      <c r="Y26" s="1319"/>
      <c r="Z26" s="1316"/>
    </row>
    <row r="27" spans="1:28">
      <c r="A27" s="509" t="s">
        <v>22</v>
      </c>
      <c r="B27" s="1314"/>
      <c r="C27" s="1315"/>
      <c r="D27" s="1314"/>
      <c r="E27" s="1314"/>
      <c r="F27" s="1314"/>
      <c r="G27" s="1314"/>
      <c r="H27" s="1314"/>
      <c r="I27" s="1319"/>
      <c r="J27" s="1319"/>
      <c r="K27" s="1319"/>
      <c r="L27" s="1319"/>
      <c r="M27" s="1321"/>
      <c r="N27" s="1319"/>
      <c r="O27" s="1319"/>
      <c r="P27" s="1319"/>
      <c r="Q27" s="1319"/>
      <c r="R27" s="1319"/>
      <c r="S27" s="1319"/>
      <c r="T27" s="1319"/>
      <c r="U27" s="1319"/>
      <c r="V27" s="1319"/>
      <c r="W27" s="1319"/>
      <c r="X27" s="1319"/>
      <c r="Y27" s="1319"/>
      <c r="Z27" s="1316"/>
    </row>
    <row r="28" spans="1:28">
      <c r="A28" s="813" t="s">
        <v>479</v>
      </c>
      <c r="B28" s="1314">
        <f>$Z28</f>
        <v>389370867</v>
      </c>
      <c r="C28" s="1320"/>
      <c r="D28" s="1314"/>
      <c r="E28" s="1319"/>
      <c r="F28" s="1314"/>
      <c r="G28" s="1319"/>
      <c r="H28" s="1314"/>
      <c r="I28" s="1319"/>
      <c r="J28" s="1314"/>
      <c r="K28" s="1319"/>
      <c r="L28" s="1314"/>
      <c r="M28" s="1321"/>
      <c r="N28" s="1319"/>
      <c r="O28" s="1319"/>
      <c r="P28" s="1319"/>
      <c r="Q28" s="1319"/>
      <c r="R28" s="1319"/>
      <c r="S28" s="1319"/>
      <c r="T28" s="1319"/>
      <c r="U28" s="1319"/>
      <c r="V28" s="1319"/>
      <c r="W28" s="1319"/>
      <c r="X28" s="1319"/>
      <c r="Y28" s="1319"/>
      <c r="Z28" s="1319">
        <v>389370867</v>
      </c>
    </row>
    <row r="29" spans="1:28">
      <c r="A29" s="813" t="s">
        <v>480</v>
      </c>
      <c r="B29" s="1314">
        <f>$Z29</f>
        <v>47</v>
      </c>
      <c r="C29" s="1320"/>
      <c r="D29" s="1314"/>
      <c r="E29" s="1319"/>
      <c r="F29" s="1314"/>
      <c r="G29" s="1319"/>
      <c r="H29" s="1314"/>
      <c r="I29" s="1319"/>
      <c r="J29" s="1314"/>
      <c r="K29" s="1319"/>
      <c r="L29" s="1314"/>
      <c r="M29" s="1321"/>
      <c r="N29" s="1319"/>
      <c r="O29" s="1319"/>
      <c r="P29" s="1319"/>
      <c r="Q29" s="1319"/>
      <c r="R29" s="1319"/>
      <c r="S29" s="1319"/>
      <c r="T29" s="1319"/>
      <c r="U29" s="1319"/>
      <c r="V29" s="1319"/>
      <c r="W29" s="1319"/>
      <c r="X29" s="1319"/>
      <c r="Y29" s="1319"/>
      <c r="Z29" s="1319">
        <v>47</v>
      </c>
      <c r="AB29" s="1764"/>
    </row>
    <row r="30" spans="1:28">
      <c r="A30" s="813" t="s">
        <v>481</v>
      </c>
      <c r="B30" s="1314">
        <f>$Z30</f>
        <v>927463</v>
      </c>
      <c r="C30" s="1320"/>
      <c r="D30" s="1314"/>
      <c r="E30" s="1319"/>
      <c r="F30" s="1314"/>
      <c r="G30" s="1319"/>
      <c r="H30" s="1314"/>
      <c r="I30" s="1319"/>
      <c r="J30" s="1314"/>
      <c r="K30" s="1319"/>
      <c r="L30" s="1314"/>
      <c r="M30" s="1321"/>
      <c r="N30" s="1319"/>
      <c r="O30" s="1319"/>
      <c r="P30" s="1319"/>
      <c r="Q30" s="1319"/>
      <c r="R30" s="1319"/>
      <c r="S30" s="1319"/>
      <c r="T30" s="1319"/>
      <c r="U30" s="1319"/>
      <c r="V30" s="1319"/>
      <c r="W30" s="1319"/>
      <c r="X30" s="1319"/>
      <c r="Y30" s="1319"/>
      <c r="Z30" s="1319">
        <v>927463</v>
      </c>
    </row>
    <row r="31" spans="1:28">
      <c r="A31" s="813" t="s">
        <v>482</v>
      </c>
      <c r="B31" s="1314">
        <f>$Z31</f>
        <v>952452</v>
      </c>
      <c r="C31" s="1320"/>
      <c r="D31" s="1314"/>
      <c r="E31" s="1319"/>
      <c r="F31" s="1314"/>
      <c r="G31" s="1319"/>
      <c r="H31" s="1314"/>
      <c r="I31" s="1319"/>
      <c r="J31" s="1314"/>
      <c r="K31" s="1319"/>
      <c r="L31" s="1314"/>
      <c r="M31" s="1321"/>
      <c r="N31" s="1319"/>
      <c r="O31" s="1319"/>
      <c r="P31" s="1319"/>
      <c r="Q31" s="1319"/>
      <c r="R31" s="1319"/>
      <c r="S31" s="1319"/>
      <c r="T31" s="1319"/>
      <c r="U31" s="1319"/>
      <c r="V31" s="1319"/>
      <c r="W31" s="1319"/>
      <c r="X31" s="1319"/>
      <c r="Y31" s="1319"/>
      <c r="Z31" s="1319">
        <v>952452</v>
      </c>
    </row>
    <row r="32" spans="1:28">
      <c r="A32" s="813" t="s">
        <v>483</v>
      </c>
      <c r="B32" s="1314">
        <f>$Z32</f>
        <v>577094</v>
      </c>
      <c r="C32" s="1320"/>
      <c r="D32" s="1314"/>
      <c r="E32" s="1319"/>
      <c r="F32" s="1314"/>
      <c r="G32" s="1319"/>
      <c r="H32" s="1314"/>
      <c r="I32" s="1319"/>
      <c r="J32" s="1314"/>
      <c r="K32" s="1319"/>
      <c r="L32" s="1314"/>
      <c r="M32" s="1321"/>
      <c r="N32" s="1319"/>
      <c r="O32" s="1319"/>
      <c r="P32" s="1319"/>
      <c r="Q32" s="1319"/>
      <c r="R32" s="1319"/>
      <c r="S32" s="1319"/>
      <c r="T32" s="1319"/>
      <c r="U32" s="1319"/>
      <c r="V32" s="1319"/>
      <c r="W32" s="1319"/>
      <c r="X32" s="1319"/>
      <c r="Y32" s="1319"/>
      <c r="Z32" s="1319">
        <v>577094</v>
      </c>
    </row>
    <row r="33" spans="1:28">
      <c r="A33" s="509" t="s">
        <v>155</v>
      </c>
      <c r="B33" s="1725">
        <f>ROUND(SUM(B28:B32),0)</f>
        <v>391827923</v>
      </c>
      <c r="C33" s="1320"/>
      <c r="D33" s="1725">
        <f>ROUND(SUM(D28:D32),0)</f>
        <v>0</v>
      </c>
      <c r="E33" s="1319"/>
      <c r="F33" s="1725">
        <f>ROUND(SUM(F28:F32),0)</f>
        <v>0</v>
      </c>
      <c r="G33" s="1319"/>
      <c r="H33" s="1725">
        <f>ROUND(SUM(H28:H32),0)</f>
        <v>0</v>
      </c>
      <c r="I33" s="1319"/>
      <c r="J33" s="1725">
        <f>ROUND(SUM(J28:J32),0)</f>
        <v>0</v>
      </c>
      <c r="K33" s="1319"/>
      <c r="L33" s="1725">
        <f>ROUND(SUM(L28:L32),0)</f>
        <v>0</v>
      </c>
      <c r="M33" s="1321"/>
      <c r="N33" s="1725">
        <f>ROUND(SUM(N28:N32),0)</f>
        <v>0</v>
      </c>
      <c r="O33" s="1319"/>
      <c r="P33" s="1725">
        <f>ROUND(SUM(P28:P32),0)</f>
        <v>0</v>
      </c>
      <c r="Q33" s="1319"/>
      <c r="R33" s="1725">
        <f>ROUND(SUM(R28:R32),0)</f>
        <v>0</v>
      </c>
      <c r="S33" s="1319"/>
      <c r="T33" s="1725">
        <f>ROUND(SUM(T28:T32),0)</f>
        <v>0</v>
      </c>
      <c r="U33" s="1319"/>
      <c r="V33" s="1725">
        <f>ROUND(SUM(V28:V32),0)</f>
        <v>0</v>
      </c>
      <c r="W33" s="1319"/>
      <c r="X33" s="1725">
        <f>ROUND(SUM(X28:X32),0)</f>
        <v>0</v>
      </c>
      <c r="Y33" s="1319"/>
      <c r="Z33" s="507">
        <f>ROUND(SUM(Z28:Z32),0)</f>
        <v>391827923</v>
      </c>
    </row>
    <row r="34" spans="1:28">
      <c r="A34" s="509"/>
      <c r="B34" s="1319"/>
      <c r="C34" s="1320"/>
      <c r="D34" s="1319"/>
      <c r="E34" s="1319"/>
      <c r="F34" s="1325"/>
      <c r="G34" s="1319"/>
      <c r="H34" s="1325"/>
      <c r="I34" s="1319"/>
      <c r="J34" s="1319"/>
      <c r="K34" s="1319"/>
      <c r="L34" s="1319"/>
      <c r="M34" s="1321"/>
      <c r="N34" s="1319"/>
      <c r="O34" s="1319"/>
      <c r="P34" s="1319"/>
      <c r="Q34" s="1319"/>
      <c r="R34" s="1319"/>
      <c r="S34" s="1319"/>
      <c r="T34" s="1319"/>
      <c r="U34" s="1319"/>
      <c r="V34" s="1319"/>
      <c r="W34" s="1319"/>
      <c r="X34" s="1319"/>
      <c r="Y34" s="1319"/>
      <c r="Z34" s="1316"/>
    </row>
    <row r="35" spans="1:28">
      <c r="A35" s="510" t="s">
        <v>484</v>
      </c>
      <c r="B35" s="1325"/>
      <c r="C35" s="1326"/>
      <c r="D35" s="1325"/>
      <c r="E35" s="1319"/>
      <c r="F35" s="1324"/>
      <c r="G35" s="1319"/>
      <c r="H35" s="1325"/>
      <c r="I35" s="1319"/>
      <c r="J35" s="1325"/>
      <c r="K35" s="1319"/>
      <c r="L35" s="1325"/>
      <c r="M35" s="1321"/>
      <c r="N35" s="1325"/>
      <c r="O35" s="1319"/>
      <c r="P35" s="1325"/>
      <c r="Q35" s="1319"/>
      <c r="R35" s="1325"/>
      <c r="S35" s="1319"/>
      <c r="T35" s="1325"/>
      <c r="U35" s="1319"/>
      <c r="V35" s="1325"/>
      <c r="W35" s="1319"/>
      <c r="X35" s="1325"/>
      <c r="Y35" s="1319"/>
      <c r="Z35" s="1316"/>
    </row>
    <row r="36" spans="1:28">
      <c r="A36" s="813" t="s">
        <v>485</v>
      </c>
      <c r="B36" s="1314">
        <f>$Z36</f>
        <v>0</v>
      </c>
      <c r="C36" s="1326"/>
      <c r="D36" s="1314"/>
      <c r="E36" s="1319"/>
      <c r="F36" s="1314"/>
      <c r="G36" s="1319"/>
      <c r="H36" s="1314"/>
      <c r="I36" s="1319"/>
      <c r="J36" s="1314"/>
      <c r="K36" s="1319"/>
      <c r="L36" s="1314"/>
      <c r="M36" s="1321"/>
      <c r="N36" s="1319"/>
      <c r="O36" s="1319"/>
      <c r="P36" s="1319"/>
      <c r="Q36" s="1319"/>
      <c r="R36" s="1319"/>
      <c r="S36" s="1319"/>
      <c r="T36" s="1319"/>
      <c r="U36" s="1319"/>
      <c r="V36" s="1319"/>
      <c r="W36" s="1319"/>
      <c r="X36" s="1319"/>
      <c r="Y36" s="1319"/>
      <c r="Z36" s="1319">
        <v>0</v>
      </c>
    </row>
    <row r="37" spans="1:28">
      <c r="A37" s="813" t="s">
        <v>486</v>
      </c>
      <c r="B37" s="1314">
        <f>$Z37</f>
        <v>0</v>
      </c>
      <c r="C37" s="1326"/>
      <c r="D37" s="1314"/>
      <c r="E37" s="1319"/>
      <c r="F37" s="1314"/>
      <c r="G37" s="1319"/>
      <c r="H37" s="1314"/>
      <c r="I37" s="1319"/>
      <c r="J37" s="1314"/>
      <c r="K37" s="1319"/>
      <c r="L37" s="1314"/>
      <c r="M37" s="1321"/>
      <c r="N37" s="1319"/>
      <c r="O37" s="1319"/>
      <c r="P37" s="1319"/>
      <c r="Q37" s="1319"/>
      <c r="R37" s="1319"/>
      <c r="S37" s="1319"/>
      <c r="T37" s="1319"/>
      <c r="U37" s="1319"/>
      <c r="V37" s="1319"/>
      <c r="W37" s="1319"/>
      <c r="X37" s="1319"/>
      <c r="Y37" s="1319"/>
      <c r="Z37" s="1319">
        <v>0</v>
      </c>
    </row>
    <row r="38" spans="1:28">
      <c r="A38" s="813" t="s">
        <v>144</v>
      </c>
      <c r="B38" s="1314">
        <f>$Z38</f>
        <v>0</v>
      </c>
      <c r="C38" s="1326"/>
      <c r="D38" s="1314"/>
      <c r="E38" s="1319"/>
      <c r="F38" s="1314"/>
      <c r="G38" s="1319"/>
      <c r="H38" s="1314"/>
      <c r="I38" s="1319"/>
      <c r="J38" s="1314"/>
      <c r="K38" s="1319"/>
      <c r="L38" s="1314"/>
      <c r="M38" s="1321"/>
      <c r="N38" s="1319"/>
      <c r="O38" s="1319"/>
      <c r="P38" s="1319"/>
      <c r="Q38" s="1319"/>
      <c r="R38" s="1319"/>
      <c r="S38" s="1319"/>
      <c r="T38" s="1319"/>
      <c r="U38" s="1319"/>
      <c r="V38" s="1319"/>
      <c r="W38" s="1319"/>
      <c r="X38" s="1319"/>
      <c r="Y38" s="1319"/>
      <c r="Z38" s="1319">
        <v>0</v>
      </c>
    </row>
    <row r="39" spans="1:28">
      <c r="A39" s="813" t="s">
        <v>1378</v>
      </c>
      <c r="B39" s="1314" t="s">
        <v>14</v>
      </c>
      <c r="C39" s="1860"/>
      <c r="D39" s="1314"/>
      <c r="E39" s="1860"/>
      <c r="F39" s="1314"/>
      <c r="G39" s="1860"/>
      <c r="H39" s="1314"/>
      <c r="I39" s="1765"/>
      <c r="J39" s="1314"/>
      <c r="K39" s="1765"/>
      <c r="L39" s="1314"/>
      <c r="M39" s="1321"/>
      <c r="N39" s="1319"/>
      <c r="O39" s="1765"/>
      <c r="P39" s="1319"/>
      <c r="Q39" s="1765"/>
      <c r="R39" s="1319"/>
      <c r="S39" s="1765"/>
      <c r="T39" s="1319"/>
      <c r="U39" s="1765"/>
      <c r="V39" s="1319"/>
      <c r="W39" s="1765"/>
      <c r="X39" s="1319"/>
      <c r="Y39" s="1765"/>
      <c r="Z39" s="1765"/>
    </row>
    <row r="40" spans="1:28">
      <c r="A40" s="813" t="s">
        <v>487</v>
      </c>
      <c r="B40" s="1314">
        <f>$Z40</f>
        <v>326891</v>
      </c>
      <c r="C40" s="1326"/>
      <c r="D40" s="1314"/>
      <c r="E40" s="1319"/>
      <c r="F40" s="1314"/>
      <c r="G40" s="1319"/>
      <c r="H40" s="1314"/>
      <c r="I40" s="1319"/>
      <c r="J40" s="1314"/>
      <c r="K40" s="1319"/>
      <c r="L40" s="1314"/>
      <c r="M40" s="1321"/>
      <c r="N40" s="1319"/>
      <c r="O40" s="1319"/>
      <c r="P40" s="1319"/>
      <c r="Q40" s="1319"/>
      <c r="R40" s="1319"/>
      <c r="S40" s="1319"/>
      <c r="T40" s="1319"/>
      <c r="U40" s="1319"/>
      <c r="V40" s="1319"/>
      <c r="W40" s="1319"/>
      <c r="X40" s="1319"/>
      <c r="Y40" s="1319"/>
      <c r="Z40" s="1319">
        <v>326891</v>
      </c>
    </row>
    <row r="41" spans="1:28">
      <c r="A41" s="813" t="s">
        <v>488</v>
      </c>
      <c r="B41" s="1314">
        <f>$Z41</f>
        <v>0</v>
      </c>
      <c r="C41" s="1326"/>
      <c r="D41" s="1314"/>
      <c r="E41" s="1319"/>
      <c r="F41" s="1314"/>
      <c r="G41" s="1319"/>
      <c r="H41" s="1314"/>
      <c r="I41" s="1319"/>
      <c r="J41" s="1314"/>
      <c r="K41" s="1319"/>
      <c r="L41" s="1314"/>
      <c r="M41" s="1321"/>
      <c r="N41" s="1319"/>
      <c r="O41" s="1319"/>
      <c r="P41" s="1319"/>
      <c r="Q41" s="1319"/>
      <c r="R41" s="1319"/>
      <c r="S41" s="1319"/>
      <c r="T41" s="1319"/>
      <c r="U41" s="1319"/>
      <c r="V41" s="1319"/>
      <c r="W41" s="1319"/>
      <c r="X41" s="1319"/>
      <c r="Y41" s="1319"/>
      <c r="Z41" s="1319">
        <v>0</v>
      </c>
    </row>
    <row r="42" spans="1:28">
      <c r="A42" s="813" t="s">
        <v>489</v>
      </c>
      <c r="B42" s="1314">
        <f>$Z42</f>
        <v>208610</v>
      </c>
      <c r="C42" s="1326"/>
      <c r="D42" s="1314"/>
      <c r="E42" s="1319"/>
      <c r="F42" s="1314"/>
      <c r="G42" s="1319"/>
      <c r="H42" s="1314"/>
      <c r="I42" s="1319"/>
      <c r="J42" s="1314"/>
      <c r="K42" s="1319"/>
      <c r="L42" s="1314"/>
      <c r="M42" s="1321"/>
      <c r="N42" s="1319"/>
      <c r="O42" s="1319"/>
      <c r="P42" s="1319"/>
      <c r="Q42" s="1319"/>
      <c r="R42" s="1319"/>
      <c r="S42" s="1319"/>
      <c r="T42" s="1319"/>
      <c r="U42" s="1319"/>
      <c r="V42" s="1319"/>
      <c r="W42" s="1319"/>
      <c r="X42" s="1319"/>
      <c r="Y42" s="1319"/>
      <c r="Z42" s="1319">
        <v>208610</v>
      </c>
    </row>
    <row r="43" spans="1:28">
      <c r="A43" s="509" t="s">
        <v>490</v>
      </c>
      <c r="B43" s="1861">
        <f>ROUND(SUM(B36:B42),0)</f>
        <v>535501</v>
      </c>
      <c r="C43" s="1317"/>
      <c r="D43" s="1861">
        <f>ROUND(SUM(D36:D42),0)</f>
        <v>0</v>
      </c>
      <c r="E43" s="1314"/>
      <c r="F43" s="1861">
        <f>ROUND(SUM(F36:F42),0)</f>
        <v>0</v>
      </c>
      <c r="G43" s="1314"/>
      <c r="H43" s="1861">
        <f>ROUND(SUM(H36:H42),0)</f>
        <v>0</v>
      </c>
      <c r="I43" s="1319"/>
      <c r="J43" s="1766">
        <f>ROUND(SUM(J36:J42),0)</f>
        <v>0</v>
      </c>
      <c r="K43" s="1319"/>
      <c r="L43" s="1766">
        <f>ROUND(SUM(L36:L42),0)</f>
        <v>0</v>
      </c>
      <c r="M43" s="1321"/>
      <c r="N43" s="1766">
        <f>ROUND(SUM(N36:N42),0)</f>
        <v>0</v>
      </c>
      <c r="O43" s="1319"/>
      <c r="P43" s="1766">
        <f>ROUND(SUM(P36:P42),0)</f>
        <v>0</v>
      </c>
      <c r="Q43" s="1319"/>
      <c r="R43" s="1766">
        <f>ROUND(SUM(R36:R42),0)</f>
        <v>0</v>
      </c>
      <c r="S43" s="1319"/>
      <c r="T43" s="1766">
        <f>ROUND(SUM(T36:T42),0)</f>
        <v>0</v>
      </c>
      <c r="U43" s="1319"/>
      <c r="V43" s="1766">
        <f>ROUND(SUM(V36:V42),0)</f>
        <v>0</v>
      </c>
      <c r="W43" s="1319"/>
      <c r="X43" s="1766">
        <f>ROUND(SUM(X36:X42),0)</f>
        <v>0</v>
      </c>
      <c r="Y43" s="1319"/>
      <c r="Z43" s="1767">
        <f>ROUND(SUM(Z36:Z42),0)</f>
        <v>535501</v>
      </c>
    </row>
    <row r="44" spans="1:28">
      <c r="B44" s="1862"/>
      <c r="C44" s="1317"/>
      <c r="D44" s="1862"/>
      <c r="E44" s="1314"/>
      <c r="F44" s="1863"/>
      <c r="G44" s="1314"/>
      <c r="H44" s="1862"/>
      <c r="I44" s="1319"/>
      <c r="J44" s="1768"/>
      <c r="K44" s="1319"/>
      <c r="L44" s="1768"/>
      <c r="M44" s="1321"/>
      <c r="N44" s="1768"/>
      <c r="O44" s="1319"/>
      <c r="P44" s="1768"/>
      <c r="Q44" s="1319"/>
      <c r="R44" s="1768"/>
      <c r="S44" s="1319"/>
      <c r="T44" s="1768"/>
      <c r="U44" s="1319"/>
      <c r="V44" s="1768"/>
      <c r="W44" s="1319"/>
      <c r="X44" s="1768"/>
      <c r="Y44" s="1319"/>
      <c r="Z44" s="1769"/>
    </row>
    <row r="45" spans="1:28" s="1757" customFormat="1">
      <c r="A45" s="509" t="s">
        <v>491</v>
      </c>
      <c r="B45" s="1328">
        <f>ROUND(B33+B43,0)</f>
        <v>392363424</v>
      </c>
      <c r="C45" s="505"/>
      <c r="D45" s="1328">
        <f>ROUND(D33+D43,0)</f>
        <v>0</v>
      </c>
      <c r="E45" s="506"/>
      <c r="F45" s="1328">
        <f>ROUND(F33+F43,0)</f>
        <v>0</v>
      </c>
      <c r="G45" s="506"/>
      <c r="H45" s="1328">
        <f>ROUND(H33+H43,0)</f>
        <v>0</v>
      </c>
      <c r="I45" s="1762"/>
      <c r="J45" s="1770">
        <f>ROUND(J33+J43,0)</f>
        <v>0</v>
      </c>
      <c r="K45" s="508"/>
      <c r="L45" s="1770">
        <f>ROUND(L33+L43,0)</f>
        <v>0</v>
      </c>
      <c r="M45" s="511"/>
      <c r="N45" s="1770">
        <f>ROUND(N33+N43,0)</f>
        <v>0</v>
      </c>
      <c r="O45" s="1762"/>
      <c r="P45" s="1770">
        <f>ROUND(P33+P43,0)</f>
        <v>0</v>
      </c>
      <c r="Q45" s="1762"/>
      <c r="R45" s="1770">
        <f>ROUND(R33+R43,0)</f>
        <v>0</v>
      </c>
      <c r="S45" s="1762"/>
      <c r="T45" s="1770">
        <f>ROUND(T33+T43,0)</f>
        <v>0</v>
      </c>
      <c r="U45" s="1762"/>
      <c r="V45" s="1770">
        <f>ROUND(V33+V43,0)</f>
        <v>0</v>
      </c>
      <c r="W45" s="1762"/>
      <c r="X45" s="1770">
        <f>ROUND(X33+X43,0)</f>
        <v>0</v>
      </c>
      <c r="Y45" s="1762"/>
      <c r="Z45" s="1770">
        <f>ROUND(Z33+Z43,0)</f>
        <v>392363424</v>
      </c>
      <c r="AA45" s="3434"/>
      <c r="AB45" s="1763"/>
    </row>
    <row r="46" spans="1:28">
      <c r="A46" s="1758"/>
      <c r="B46" s="1312"/>
      <c r="C46" s="1312"/>
      <c r="D46" s="1312"/>
      <c r="E46" s="1311"/>
      <c r="F46" s="1312"/>
      <c r="G46" s="1311"/>
      <c r="H46" s="1312"/>
      <c r="I46" s="1321"/>
      <c r="J46" s="1759"/>
      <c r="K46" s="1759"/>
      <c r="L46" s="1759"/>
      <c r="M46" s="1321"/>
      <c r="N46" s="1759"/>
      <c r="O46" s="1321"/>
      <c r="P46" s="1759"/>
      <c r="Q46" s="1321"/>
      <c r="R46" s="1759"/>
      <c r="S46" s="1321"/>
      <c r="T46" s="1759"/>
      <c r="U46" s="1321"/>
      <c r="V46" s="1759"/>
      <c r="W46" s="1321"/>
      <c r="X46" s="1759"/>
      <c r="Y46" s="1321"/>
      <c r="Z46" s="1771"/>
    </row>
    <row r="47" spans="1:28" s="1757" customFormat="1" ht="16" thickBot="1">
      <c r="A47" s="510" t="s">
        <v>492</v>
      </c>
      <c r="B47" s="1558">
        <f>ROUND(B12+B25-B45,0)</f>
        <v>114747009</v>
      </c>
      <c r="C47" s="500"/>
      <c r="D47" s="1558">
        <f>ROUND(D12+D25-D45,0)</f>
        <v>0</v>
      </c>
      <c r="E47" s="1309"/>
      <c r="F47" s="1558">
        <f>ROUND(F12+F25-F45,0)</f>
        <v>0</v>
      </c>
      <c r="G47" s="1309"/>
      <c r="H47" s="1558">
        <f>ROUND(H12+H25-H45,0)</f>
        <v>0</v>
      </c>
      <c r="I47" s="1756"/>
      <c r="J47" s="1772">
        <f>ROUND(J12+J25-J45,0)</f>
        <v>0</v>
      </c>
      <c r="K47" s="501"/>
      <c r="L47" s="1772">
        <f>ROUND(L12+L25-L45,0)</f>
        <v>0</v>
      </c>
      <c r="M47" s="511"/>
      <c r="N47" s="1772">
        <f>ROUND(N12+N25-N45,0)</f>
        <v>0</v>
      </c>
      <c r="O47" s="512"/>
      <c r="P47" s="1772">
        <f>ROUND(P12+P25-P45,0)</f>
        <v>0</v>
      </c>
      <c r="Q47" s="512"/>
      <c r="R47" s="1772">
        <f>ROUND(R12+R25-R45,0)</f>
        <v>0</v>
      </c>
      <c r="S47" s="512"/>
      <c r="T47" s="1772">
        <f>ROUND(T12+T25-T45,0)</f>
        <v>0</v>
      </c>
      <c r="U47" s="512"/>
      <c r="V47" s="1772">
        <f>ROUND(V12+V25-V45,0)</f>
        <v>0</v>
      </c>
      <c r="W47" s="512"/>
      <c r="X47" s="1772">
        <f>ROUND(X12+X25-X45,0)</f>
        <v>0</v>
      </c>
      <c r="Y47" s="512"/>
      <c r="Z47" s="2998">
        <f>ROUND(Z12+Z25-Z45,0)</f>
        <v>114747009</v>
      </c>
      <c r="AA47" s="3434"/>
    </row>
    <row r="48" spans="1:28" ht="16" thickTop="1">
      <c r="A48" s="1758"/>
      <c r="B48" s="1307"/>
      <c r="C48" s="1307"/>
      <c r="D48" s="1307"/>
      <c r="E48" s="1330"/>
      <c r="F48" s="1307"/>
      <c r="G48" s="1330"/>
      <c r="H48" s="1307"/>
      <c r="I48" s="1773"/>
      <c r="J48" s="1752"/>
      <c r="K48" s="1752"/>
      <c r="L48" s="1752"/>
      <c r="M48" s="1773"/>
      <c r="N48" s="1752"/>
      <c r="O48" s="1773"/>
      <c r="P48" s="1752"/>
      <c r="Q48" s="1773"/>
      <c r="R48" s="1752"/>
      <c r="S48" s="1773"/>
      <c r="T48" s="1752"/>
      <c r="U48" s="1773"/>
      <c r="V48" s="1752"/>
      <c r="W48" s="1773"/>
      <c r="X48" s="1752"/>
      <c r="Y48" s="1773"/>
      <c r="Z48" s="1771"/>
    </row>
    <row r="49" spans="1:26">
      <c r="A49" s="1774"/>
      <c r="B49" s="1331"/>
      <c r="C49" s="1331"/>
      <c r="D49" s="1331"/>
      <c r="E49" s="1308"/>
      <c r="F49" s="1331"/>
      <c r="G49" s="1308"/>
      <c r="H49" s="1331"/>
      <c r="I49" s="1753"/>
      <c r="J49" s="1775"/>
      <c r="K49" s="1775"/>
      <c r="L49" s="1775"/>
      <c r="M49" s="1753"/>
      <c r="N49" s="1775"/>
      <c r="O49" s="1753"/>
      <c r="P49" s="1775"/>
      <c r="Q49" s="1753"/>
      <c r="R49" s="1775"/>
      <c r="S49" s="1753"/>
      <c r="T49" s="1775"/>
      <c r="U49" s="1753"/>
      <c r="V49" s="1775"/>
      <c r="W49" s="1753"/>
      <c r="X49" s="1775"/>
      <c r="Y49" s="1753"/>
      <c r="Z49" s="1757"/>
    </row>
    <row r="51" spans="1:26" ht="17.5">
      <c r="A51" s="1776"/>
      <c r="B51" s="1303"/>
      <c r="C51" s="1303"/>
      <c r="D51" s="1303"/>
      <c r="E51" s="481"/>
      <c r="F51" s="1303"/>
      <c r="G51" s="481"/>
      <c r="H51" s="1303"/>
      <c r="I51" s="1731"/>
      <c r="J51" s="1735"/>
      <c r="K51" s="1735"/>
      <c r="L51" s="1735"/>
      <c r="M51" s="1753"/>
      <c r="N51" s="1735"/>
      <c r="O51" s="1731"/>
      <c r="P51" s="1735"/>
      <c r="Q51" s="1731"/>
      <c r="R51" s="1735"/>
      <c r="S51" s="1731"/>
      <c r="T51" s="1735"/>
      <c r="U51" s="1731"/>
      <c r="V51" s="1735"/>
      <c r="W51" s="1731"/>
      <c r="X51" s="1735"/>
      <c r="Y51" s="1731"/>
      <c r="Z51" s="1737"/>
    </row>
    <row r="52" spans="1:26">
      <c r="A52" s="1745"/>
      <c r="B52" s="1331"/>
      <c r="C52" s="1331"/>
      <c r="D52" s="1331"/>
      <c r="E52" s="1308"/>
      <c r="F52" s="1331"/>
      <c r="G52" s="1308"/>
      <c r="H52" s="1331"/>
      <c r="I52" s="1753"/>
      <c r="J52" s="1775"/>
      <c r="K52" s="1775"/>
      <c r="L52" s="1775"/>
      <c r="M52" s="1753"/>
      <c r="N52" s="1775"/>
      <c r="O52" s="1753"/>
      <c r="P52" s="1775"/>
      <c r="Q52" s="1753"/>
      <c r="R52" s="1775"/>
      <c r="S52" s="1753"/>
      <c r="T52" s="1775"/>
      <c r="U52" s="1753"/>
      <c r="V52" s="1775"/>
      <c r="W52" s="1753"/>
      <c r="X52" s="1775"/>
      <c r="Y52" s="1753"/>
      <c r="Z52" s="1760"/>
    </row>
    <row r="53" spans="1:26">
      <c r="A53" s="1745"/>
      <c r="B53" s="1331"/>
      <c r="C53" s="1331"/>
      <c r="D53" s="1331"/>
      <c r="E53" s="1308"/>
      <c r="F53" s="1331"/>
      <c r="G53" s="1308"/>
      <c r="H53" s="1331"/>
      <c r="I53" s="1753"/>
      <c r="J53" s="1775"/>
      <c r="K53" s="1775"/>
      <c r="L53" s="1775"/>
      <c r="M53" s="1753"/>
      <c r="N53" s="1775"/>
      <c r="O53" s="1753"/>
      <c r="P53" s="1775"/>
      <c r="Q53" s="1753"/>
      <c r="R53" s="1775"/>
      <c r="S53" s="1753"/>
      <c r="T53" s="1775"/>
      <c r="U53" s="1753"/>
      <c r="V53" s="1775"/>
      <c r="W53" s="1753"/>
      <c r="X53" s="1775"/>
      <c r="Y53" s="1753"/>
      <c r="Z53" s="1760"/>
    </row>
    <row r="54" spans="1:26">
      <c r="A54" s="1742"/>
      <c r="B54" s="480"/>
      <c r="C54" s="480"/>
      <c r="D54" s="480"/>
      <c r="E54" s="481"/>
      <c r="F54" s="480"/>
      <c r="G54" s="481"/>
      <c r="H54" s="480"/>
      <c r="I54" s="1731"/>
      <c r="J54" s="1730"/>
      <c r="K54" s="1730"/>
      <c r="L54" s="1730"/>
      <c r="M54" s="1731"/>
      <c r="N54" s="1730"/>
      <c r="O54" s="1731"/>
      <c r="P54" s="1730"/>
      <c r="Q54" s="1731"/>
      <c r="R54" s="1730"/>
      <c r="S54" s="1731"/>
      <c r="T54" s="1730"/>
      <c r="U54" s="1731"/>
      <c r="V54" s="1730"/>
      <c r="W54" s="1731"/>
      <c r="X54" s="1730"/>
      <c r="Y54" s="1731"/>
      <c r="Z54" s="1777"/>
    </row>
    <row r="55" spans="1:26">
      <c r="A55" s="1742"/>
      <c r="B55" s="480"/>
      <c r="C55" s="480"/>
      <c r="D55" s="480"/>
      <c r="E55" s="481"/>
      <c r="F55" s="480"/>
      <c r="G55" s="481"/>
      <c r="H55" s="480"/>
      <c r="I55" s="1731"/>
      <c r="J55" s="1730"/>
      <c r="K55" s="1730"/>
      <c r="L55" s="1730"/>
      <c r="M55" s="1731"/>
      <c r="N55" s="1730"/>
      <c r="O55" s="1731"/>
      <c r="P55" s="1730"/>
      <c r="Q55" s="1731"/>
      <c r="R55" s="1730"/>
      <c r="S55" s="1731"/>
      <c r="T55" s="1730"/>
      <c r="U55" s="1731"/>
      <c r="V55" s="1730"/>
      <c r="W55" s="1731"/>
      <c r="X55" s="1730"/>
      <c r="Y55" s="1731"/>
      <c r="Z55" s="1777"/>
    </row>
    <row r="56" spans="1:26">
      <c r="A56" s="1742"/>
      <c r="B56" s="480"/>
      <c r="C56" s="480"/>
      <c r="D56" s="480"/>
      <c r="E56" s="481"/>
      <c r="F56" s="480"/>
      <c r="G56" s="481"/>
      <c r="H56" s="480"/>
      <c r="I56" s="1731"/>
      <c r="J56" s="1730"/>
      <c r="K56" s="1730"/>
      <c r="L56" s="1730"/>
      <c r="M56" s="1731"/>
      <c r="N56" s="1730"/>
      <c r="O56" s="1731"/>
      <c r="P56" s="1730"/>
      <c r="Q56" s="1731"/>
      <c r="R56" s="1730"/>
      <c r="S56" s="1731"/>
      <c r="T56" s="1730"/>
      <c r="U56" s="1731"/>
      <c r="V56" s="1730"/>
      <c r="W56" s="1731"/>
      <c r="X56" s="1730"/>
      <c r="Y56" s="1731"/>
      <c r="Z56" s="1777"/>
    </row>
    <row r="57" spans="1:26">
      <c r="A57" s="1742"/>
      <c r="B57" s="480"/>
      <c r="C57" s="480"/>
      <c r="D57" s="480"/>
      <c r="E57" s="481"/>
      <c r="F57" s="480"/>
      <c r="G57" s="481"/>
      <c r="H57" s="480"/>
      <c r="I57" s="1731"/>
      <c r="J57" s="1730"/>
      <c r="K57" s="1730"/>
      <c r="L57" s="1730"/>
      <c r="M57" s="1731"/>
      <c r="N57" s="1730"/>
      <c r="O57" s="1731"/>
      <c r="P57" s="1730"/>
      <c r="Q57" s="1731"/>
      <c r="R57" s="1730"/>
      <c r="S57" s="1731"/>
      <c r="T57" s="1730"/>
      <c r="U57" s="1731"/>
      <c r="V57" s="1730"/>
      <c r="W57" s="1731"/>
      <c r="X57" s="1730"/>
      <c r="Y57" s="1731"/>
      <c r="Z57" s="1777"/>
    </row>
    <row r="58" spans="1:26">
      <c r="A58" s="1742"/>
      <c r="B58" s="480"/>
      <c r="C58" s="480"/>
      <c r="D58" s="480"/>
      <c r="E58" s="481"/>
      <c r="F58" s="480"/>
      <c r="G58" s="481"/>
      <c r="H58" s="480"/>
      <c r="I58" s="1731"/>
      <c r="J58" s="1730"/>
      <c r="K58" s="1730"/>
      <c r="L58" s="1730"/>
      <c r="M58" s="1731"/>
      <c r="N58" s="1730"/>
      <c r="O58" s="1731"/>
      <c r="P58" s="1730"/>
      <c r="Q58" s="1731"/>
      <c r="R58" s="1730"/>
      <c r="S58" s="1731"/>
      <c r="T58" s="1730"/>
      <c r="U58" s="1731"/>
      <c r="V58" s="1730"/>
      <c r="W58" s="1731"/>
      <c r="X58" s="1730"/>
      <c r="Y58" s="1731"/>
      <c r="Z58" s="1777"/>
    </row>
    <row r="59" spans="1:26">
      <c r="A59" s="1742"/>
      <c r="B59" s="480"/>
      <c r="C59" s="480"/>
      <c r="D59" s="480"/>
      <c r="E59" s="481"/>
      <c r="F59" s="480"/>
      <c r="G59" s="481"/>
      <c r="H59" s="480"/>
      <c r="I59" s="1731"/>
      <c r="J59" s="1730"/>
      <c r="K59" s="1730"/>
      <c r="L59" s="1730"/>
      <c r="M59" s="1731"/>
      <c r="N59" s="1730"/>
      <c r="O59" s="1731"/>
      <c r="P59" s="1730"/>
      <c r="Q59" s="1731"/>
      <c r="R59" s="1730"/>
      <c r="S59" s="1731"/>
      <c r="T59" s="1730"/>
      <c r="U59" s="1731"/>
      <c r="V59" s="1730"/>
      <c r="W59" s="1731"/>
      <c r="X59" s="1730"/>
      <c r="Y59" s="1731"/>
      <c r="Z59" s="1777"/>
    </row>
    <row r="60" spans="1:26">
      <c r="A60" s="1742"/>
      <c r="B60" s="480"/>
      <c r="C60" s="480"/>
      <c r="D60" s="480"/>
      <c r="E60" s="481"/>
      <c r="F60" s="480"/>
      <c r="G60" s="481"/>
      <c r="H60" s="480"/>
      <c r="I60" s="1731"/>
      <c r="J60" s="1730"/>
      <c r="K60" s="1730"/>
      <c r="L60" s="1730"/>
      <c r="M60" s="1731"/>
      <c r="N60" s="1730"/>
      <c r="O60" s="1731"/>
      <c r="P60" s="1730"/>
      <c r="Q60" s="1731"/>
      <c r="R60" s="1730"/>
      <c r="S60" s="1731"/>
      <c r="T60" s="1730"/>
      <c r="U60" s="1731"/>
      <c r="V60" s="1730"/>
      <c r="W60" s="1731"/>
      <c r="X60" s="1730"/>
      <c r="Y60" s="1731"/>
      <c r="Z60" s="1777"/>
    </row>
    <row r="61" spans="1:26">
      <c r="A61" s="1742"/>
      <c r="B61" s="480"/>
      <c r="C61" s="480"/>
      <c r="D61" s="480"/>
      <c r="E61" s="481"/>
      <c r="F61" s="480"/>
      <c r="G61" s="481"/>
      <c r="H61" s="480"/>
      <c r="I61" s="1731"/>
      <c r="J61" s="1730"/>
      <c r="K61" s="1730"/>
      <c r="L61" s="1730"/>
      <c r="M61" s="1731"/>
      <c r="N61" s="1730"/>
      <c r="O61" s="1731"/>
      <c r="P61" s="1730"/>
      <c r="Q61" s="1731"/>
      <c r="R61" s="1730"/>
      <c r="S61" s="1731"/>
      <c r="T61" s="1730"/>
      <c r="U61" s="1731"/>
      <c r="V61" s="1730"/>
      <c r="W61" s="1731"/>
      <c r="X61" s="1730"/>
      <c r="Y61" s="1731"/>
      <c r="Z61" s="1777"/>
    </row>
    <row r="62" spans="1:26">
      <c r="A62" s="1742"/>
      <c r="B62" s="480"/>
      <c r="C62" s="480"/>
      <c r="D62" s="480"/>
      <c r="E62" s="481"/>
      <c r="F62" s="480"/>
      <c r="G62" s="481"/>
      <c r="H62" s="480"/>
      <c r="I62" s="1731"/>
      <c r="J62" s="1730"/>
      <c r="K62" s="1730"/>
      <c r="L62" s="1730"/>
      <c r="M62" s="1731"/>
      <c r="N62" s="1730"/>
      <c r="O62" s="1731"/>
      <c r="P62" s="1730"/>
      <c r="Q62" s="1731"/>
      <c r="R62" s="1730"/>
      <c r="S62" s="1731"/>
      <c r="T62" s="1730"/>
      <c r="U62" s="1731"/>
      <c r="V62" s="1730"/>
      <c r="W62" s="1731"/>
      <c r="X62" s="1730"/>
      <c r="Y62" s="1731"/>
      <c r="Z62" s="1777"/>
    </row>
    <row r="63" spans="1:26">
      <c r="A63" s="1742"/>
      <c r="B63" s="480"/>
      <c r="C63" s="480"/>
      <c r="D63" s="480"/>
      <c r="E63" s="481"/>
      <c r="F63" s="480"/>
      <c r="G63" s="481"/>
      <c r="H63" s="480"/>
      <c r="I63" s="1731"/>
      <c r="J63" s="1730"/>
      <c r="K63" s="1730"/>
      <c r="L63" s="1730"/>
      <c r="M63" s="1731"/>
      <c r="N63" s="1730"/>
      <c r="O63" s="1731"/>
      <c r="P63" s="1730"/>
      <c r="Q63" s="1731"/>
      <c r="R63" s="1730"/>
      <c r="S63" s="1731"/>
      <c r="T63" s="1730"/>
      <c r="U63" s="1731"/>
      <c r="V63" s="1730"/>
      <c r="W63" s="1731"/>
      <c r="X63" s="1730"/>
      <c r="Y63" s="1731"/>
      <c r="Z63" s="1777"/>
    </row>
    <row r="64" spans="1:26">
      <c r="A64" s="1742"/>
      <c r="B64" s="480"/>
      <c r="C64" s="480"/>
      <c r="D64" s="480"/>
      <c r="E64" s="481"/>
      <c r="F64" s="480"/>
      <c r="G64" s="481"/>
      <c r="H64" s="480"/>
      <c r="I64" s="1731"/>
      <c r="J64" s="1730"/>
      <c r="K64" s="1730"/>
      <c r="L64" s="1730"/>
      <c r="M64" s="1731"/>
      <c r="N64" s="1730"/>
      <c r="O64" s="1731"/>
      <c r="P64" s="1730"/>
      <c r="Q64" s="1731"/>
      <c r="R64" s="1730"/>
      <c r="S64" s="1731"/>
      <c r="T64" s="1730"/>
      <c r="U64" s="1731"/>
      <c r="V64" s="1730"/>
      <c r="W64" s="1731"/>
      <c r="X64" s="1730"/>
      <c r="Y64" s="1731"/>
      <c r="Z64" s="1777"/>
    </row>
    <row r="65" spans="1:26">
      <c r="A65" s="1742"/>
      <c r="B65" s="480"/>
      <c r="C65" s="480"/>
      <c r="D65" s="480"/>
      <c r="E65" s="481"/>
      <c r="F65" s="480"/>
      <c r="G65" s="481"/>
      <c r="H65" s="480"/>
      <c r="I65" s="1731"/>
      <c r="J65" s="1730"/>
      <c r="K65" s="1730"/>
      <c r="L65" s="1730"/>
      <c r="M65" s="1731"/>
      <c r="N65" s="1730"/>
      <c r="O65" s="1731"/>
      <c r="P65" s="1730"/>
      <c r="Q65" s="1731"/>
      <c r="R65" s="1730"/>
      <c r="S65" s="1731"/>
      <c r="T65" s="1730"/>
      <c r="U65" s="1731"/>
      <c r="V65" s="1730"/>
      <c r="W65" s="1731"/>
      <c r="X65" s="1730"/>
      <c r="Y65" s="1731"/>
      <c r="Z65" s="1777"/>
    </row>
    <row r="66" spans="1:26">
      <c r="A66" s="1742"/>
      <c r="B66" s="480"/>
      <c r="C66" s="480"/>
      <c r="D66" s="480"/>
      <c r="E66" s="481"/>
      <c r="F66" s="480"/>
      <c r="G66" s="481"/>
      <c r="H66" s="480"/>
      <c r="I66" s="1731"/>
      <c r="J66" s="1730"/>
      <c r="K66" s="1730"/>
      <c r="L66" s="1730"/>
      <c r="M66" s="1731"/>
      <c r="N66" s="1730"/>
      <c r="O66" s="1731"/>
      <c r="P66" s="1730"/>
      <c r="Q66" s="1731"/>
      <c r="R66" s="1730"/>
      <c r="S66" s="1731"/>
      <c r="T66" s="1730"/>
      <c r="U66" s="1731"/>
      <c r="V66" s="1730"/>
      <c r="W66" s="1731"/>
      <c r="X66" s="1730"/>
      <c r="Y66" s="1731"/>
      <c r="Z66" s="1777"/>
    </row>
    <row r="67" spans="1:26">
      <c r="A67" s="1742"/>
      <c r="B67" s="480"/>
      <c r="C67" s="480"/>
      <c r="D67" s="480"/>
      <c r="E67" s="481"/>
      <c r="F67" s="480"/>
      <c r="G67" s="481"/>
      <c r="H67" s="480"/>
      <c r="I67" s="1731"/>
      <c r="J67" s="1730"/>
      <c r="K67" s="1730"/>
      <c r="L67" s="1730"/>
      <c r="M67" s="1731"/>
      <c r="N67" s="1730"/>
      <c r="O67" s="1731"/>
      <c r="P67" s="1730"/>
      <c r="Q67" s="1731"/>
      <c r="R67" s="1730"/>
      <c r="S67" s="1731"/>
      <c r="T67" s="1730"/>
      <c r="U67" s="1731"/>
      <c r="V67" s="1730"/>
      <c r="W67" s="1731"/>
      <c r="X67" s="1730"/>
      <c r="Y67" s="1731"/>
      <c r="Z67" s="1777"/>
    </row>
    <row r="68" spans="1:26">
      <c r="A68" s="1742"/>
      <c r="B68" s="480"/>
      <c r="C68" s="480"/>
      <c r="D68" s="480"/>
      <c r="E68" s="481"/>
      <c r="F68" s="480"/>
      <c r="G68" s="481"/>
      <c r="H68" s="480"/>
      <c r="I68" s="1731"/>
      <c r="J68" s="1730"/>
      <c r="K68" s="1730"/>
      <c r="L68" s="1730"/>
      <c r="M68" s="1731"/>
      <c r="N68" s="1730"/>
      <c r="O68" s="1731"/>
      <c r="P68" s="1730"/>
      <c r="Q68" s="1731"/>
      <c r="R68" s="1730"/>
      <c r="S68" s="1731"/>
      <c r="T68" s="1730"/>
      <c r="U68" s="1731"/>
      <c r="V68" s="1730"/>
      <c r="W68" s="1731"/>
      <c r="X68" s="1730"/>
      <c r="Y68" s="1731"/>
      <c r="Z68" s="1777"/>
    </row>
    <row r="69" spans="1:26">
      <c r="A69" s="1742"/>
      <c r="B69" s="480"/>
      <c r="C69" s="480"/>
      <c r="D69" s="480"/>
      <c r="E69" s="481"/>
      <c r="F69" s="480"/>
      <c r="G69" s="481"/>
      <c r="H69" s="480"/>
      <c r="I69" s="1731"/>
      <c r="J69" s="1730"/>
      <c r="K69" s="1730"/>
      <c r="L69" s="1730"/>
      <c r="M69" s="1731"/>
      <c r="N69" s="1730"/>
      <c r="O69" s="1731"/>
      <c r="P69" s="1730"/>
      <c r="Q69" s="1731"/>
      <c r="R69" s="1730"/>
      <c r="S69" s="1731"/>
      <c r="T69" s="1730"/>
      <c r="U69" s="1731"/>
      <c r="V69" s="1730"/>
      <c r="W69" s="1731"/>
      <c r="X69" s="1730"/>
      <c r="Y69" s="1731"/>
      <c r="Z69" s="1777"/>
    </row>
    <row r="70" spans="1:26">
      <c r="A70" s="1742"/>
      <c r="B70" s="480"/>
      <c r="C70" s="480"/>
      <c r="D70" s="480"/>
      <c r="E70" s="481"/>
      <c r="F70" s="480"/>
      <c r="G70" s="481"/>
      <c r="H70" s="480"/>
      <c r="I70" s="1731"/>
      <c r="J70" s="1730"/>
      <c r="K70" s="1730"/>
      <c r="L70" s="1730"/>
      <c r="M70" s="1731"/>
      <c r="N70" s="1730"/>
      <c r="O70" s="1731"/>
      <c r="P70" s="1730"/>
      <c r="Q70" s="1731"/>
      <c r="R70" s="1730"/>
      <c r="S70" s="1731"/>
      <c r="T70" s="1730"/>
      <c r="U70" s="1731"/>
      <c r="V70" s="1730"/>
      <c r="W70" s="1731"/>
      <c r="X70" s="1730"/>
      <c r="Y70" s="1731"/>
      <c r="Z70" s="1777"/>
    </row>
    <row r="71" spans="1:26">
      <c r="A71" s="1742"/>
      <c r="B71" s="480"/>
      <c r="C71" s="480"/>
      <c r="D71" s="480"/>
      <c r="E71" s="481"/>
      <c r="F71" s="480"/>
      <c r="G71" s="481"/>
      <c r="H71" s="480"/>
      <c r="I71" s="1731"/>
      <c r="J71" s="1730"/>
      <c r="K71" s="1730"/>
      <c r="L71" s="1730"/>
      <c r="M71" s="1731"/>
      <c r="N71" s="1730"/>
      <c r="O71" s="1731"/>
      <c r="P71" s="1730"/>
      <c r="Q71" s="1731"/>
      <c r="R71" s="1730"/>
      <c r="S71" s="1731"/>
      <c r="T71" s="1730"/>
      <c r="U71" s="1731"/>
      <c r="V71" s="1730"/>
      <c r="W71" s="1731"/>
      <c r="X71" s="1730"/>
      <c r="Y71" s="1731"/>
      <c r="Z71" s="1777"/>
    </row>
    <row r="72" spans="1:26">
      <c r="A72" s="1742"/>
      <c r="B72" s="480"/>
      <c r="C72" s="480"/>
      <c r="D72" s="480"/>
      <c r="E72" s="481"/>
      <c r="F72" s="480"/>
      <c r="G72" s="481"/>
      <c r="H72" s="480"/>
      <c r="I72" s="1731"/>
      <c r="J72" s="1730"/>
      <c r="K72" s="1730"/>
      <c r="L72" s="1730"/>
      <c r="M72" s="1731"/>
      <c r="N72" s="1730"/>
      <c r="O72" s="1731"/>
      <c r="P72" s="1730"/>
      <c r="Q72" s="1731"/>
      <c r="R72" s="1730"/>
      <c r="S72" s="1731"/>
      <c r="T72" s="1730"/>
      <c r="U72" s="1731"/>
      <c r="V72" s="1730"/>
      <c r="W72" s="1731"/>
      <c r="X72" s="1730"/>
      <c r="Y72" s="1731"/>
      <c r="Z72" s="1777"/>
    </row>
    <row r="73" spans="1:26">
      <c r="A73" s="1742"/>
      <c r="B73" s="480"/>
      <c r="C73" s="480"/>
      <c r="D73" s="480"/>
      <c r="E73" s="481"/>
      <c r="F73" s="480"/>
      <c r="G73" s="481"/>
      <c r="H73" s="480"/>
      <c r="I73" s="1731"/>
      <c r="J73" s="1730"/>
      <c r="K73" s="1730"/>
      <c r="L73" s="1730"/>
      <c r="M73" s="1731"/>
      <c r="N73" s="1730"/>
      <c r="O73" s="1731"/>
      <c r="P73" s="1730"/>
      <c r="Q73" s="1731"/>
      <c r="R73" s="1730"/>
      <c r="S73" s="1731"/>
      <c r="T73" s="1730"/>
      <c r="U73" s="1731"/>
      <c r="V73" s="1730"/>
      <c r="W73" s="1731"/>
      <c r="X73" s="1730"/>
      <c r="Y73" s="1731"/>
      <c r="Z73" s="1777"/>
    </row>
    <row r="74" spans="1:26">
      <c r="A74" s="1742"/>
      <c r="B74" s="480"/>
      <c r="C74" s="480"/>
      <c r="D74" s="480"/>
      <c r="E74" s="481"/>
      <c r="F74" s="480"/>
      <c r="G74" s="481"/>
      <c r="H74" s="480"/>
      <c r="I74" s="1731"/>
      <c r="J74" s="1730"/>
      <c r="K74" s="1730"/>
      <c r="L74" s="1730"/>
      <c r="M74" s="1731"/>
      <c r="N74" s="1730"/>
      <c r="O74" s="1731"/>
      <c r="P74" s="1730"/>
      <c r="Q74" s="1731"/>
      <c r="R74" s="1730"/>
      <c r="S74" s="1731"/>
      <c r="T74" s="1730"/>
      <c r="U74" s="1731"/>
      <c r="V74" s="1730"/>
      <c r="W74" s="1731"/>
      <c r="X74" s="1730"/>
      <c r="Y74" s="1731"/>
      <c r="Z74" s="1777"/>
    </row>
    <row r="75" spans="1:26">
      <c r="A75" s="1742"/>
      <c r="B75" s="480"/>
      <c r="C75" s="480"/>
      <c r="D75" s="480"/>
      <c r="E75" s="481"/>
      <c r="F75" s="480"/>
      <c r="G75" s="481"/>
      <c r="H75" s="480"/>
      <c r="I75" s="1731"/>
      <c r="J75" s="1730"/>
      <c r="K75" s="1730"/>
      <c r="L75" s="1730"/>
      <c r="M75" s="1731"/>
      <c r="N75" s="1730"/>
      <c r="O75" s="1731"/>
      <c r="P75" s="1730"/>
      <c r="Q75" s="1731"/>
      <c r="R75" s="1730"/>
      <c r="S75" s="1731"/>
      <c r="T75" s="1730"/>
      <c r="U75" s="1731"/>
      <c r="V75" s="1730"/>
      <c r="W75" s="1731"/>
      <c r="X75" s="1730"/>
      <c r="Y75" s="1731"/>
      <c r="Z75" s="1777"/>
    </row>
    <row r="76" spans="1:26">
      <c r="A76" s="1742"/>
      <c r="B76" s="480"/>
      <c r="C76" s="480"/>
      <c r="D76" s="480"/>
      <c r="E76" s="481"/>
      <c r="F76" s="480"/>
      <c r="G76" s="481"/>
      <c r="H76" s="480"/>
      <c r="I76" s="1731"/>
      <c r="J76" s="1730"/>
      <c r="K76" s="1730"/>
      <c r="L76" s="1730"/>
      <c r="M76" s="1731"/>
      <c r="N76" s="1730"/>
      <c r="O76" s="1731"/>
      <c r="P76" s="1730"/>
      <c r="Q76" s="1731"/>
      <c r="R76" s="1730"/>
      <c r="S76" s="1731"/>
      <c r="T76" s="1730"/>
      <c r="U76" s="1731"/>
      <c r="V76" s="1730"/>
      <c r="W76" s="1731"/>
      <c r="X76" s="1730"/>
      <c r="Y76" s="1731"/>
      <c r="Z76" s="1777"/>
    </row>
    <row r="77" spans="1:26">
      <c r="A77" s="1742"/>
      <c r="B77" s="480"/>
      <c r="C77" s="480"/>
      <c r="D77" s="480"/>
      <c r="E77" s="481"/>
      <c r="F77" s="480"/>
      <c r="G77" s="481"/>
      <c r="H77" s="480"/>
      <c r="I77" s="1731"/>
      <c r="J77" s="1730"/>
      <c r="K77" s="1730"/>
      <c r="L77" s="1730"/>
      <c r="M77" s="1731"/>
      <c r="N77" s="1730"/>
      <c r="O77" s="1731"/>
      <c r="P77" s="1730"/>
      <c r="Q77" s="1731"/>
      <c r="R77" s="1730"/>
      <c r="S77" s="1731"/>
      <c r="T77" s="1730"/>
      <c r="U77" s="1731"/>
      <c r="V77" s="1730"/>
      <c r="W77" s="1731"/>
      <c r="X77" s="1730"/>
      <c r="Y77" s="1731"/>
      <c r="Z77" s="1777"/>
    </row>
    <row r="78" spans="1:26">
      <c r="A78" s="1742"/>
      <c r="B78" s="480"/>
      <c r="C78" s="480"/>
      <c r="D78" s="480"/>
      <c r="E78" s="481"/>
      <c r="F78" s="480"/>
      <c r="G78" s="481"/>
      <c r="H78" s="480"/>
      <c r="I78" s="1731"/>
      <c r="J78" s="1730"/>
      <c r="K78" s="1730"/>
      <c r="L78" s="1730"/>
      <c r="M78" s="1731"/>
      <c r="N78" s="1730"/>
      <c r="O78" s="1731"/>
      <c r="P78" s="1730"/>
      <c r="Q78" s="1731"/>
      <c r="R78" s="1730"/>
      <c r="S78" s="1731"/>
      <c r="T78" s="1730"/>
      <c r="U78" s="1731"/>
      <c r="V78" s="1730"/>
      <c r="W78" s="1731"/>
      <c r="X78" s="1730"/>
      <c r="Y78" s="1731"/>
      <c r="Z78" s="1777"/>
    </row>
    <row r="79" spans="1:26">
      <c r="A79" s="1742"/>
      <c r="B79" s="480"/>
      <c r="C79" s="480"/>
      <c r="D79" s="480"/>
      <c r="E79" s="481"/>
      <c r="F79" s="480"/>
      <c r="G79" s="481"/>
      <c r="H79" s="480"/>
      <c r="I79" s="1731"/>
      <c r="J79" s="1730"/>
      <c r="K79" s="1730"/>
      <c r="L79" s="1730"/>
      <c r="M79" s="1731"/>
      <c r="N79" s="1730"/>
      <c r="O79" s="1731"/>
      <c r="P79" s="1730"/>
      <c r="Q79" s="1731"/>
      <c r="R79" s="1730"/>
      <c r="S79" s="1731"/>
      <c r="T79" s="1730"/>
      <c r="U79" s="1731"/>
      <c r="V79" s="1730"/>
      <c r="W79" s="1731"/>
      <c r="X79" s="1730"/>
      <c r="Y79" s="1731"/>
      <c r="Z79" s="1777"/>
    </row>
    <row r="80" spans="1:26">
      <c r="A80" s="1742"/>
      <c r="B80" s="480"/>
      <c r="C80" s="480"/>
      <c r="D80" s="480"/>
      <c r="E80" s="481"/>
      <c r="F80" s="480"/>
      <c r="G80" s="481"/>
      <c r="H80" s="480"/>
      <c r="I80" s="1731"/>
      <c r="J80" s="1730"/>
      <c r="K80" s="1730"/>
      <c r="L80" s="1730"/>
      <c r="M80" s="1731"/>
      <c r="N80" s="1730"/>
      <c r="O80" s="1731"/>
      <c r="P80" s="1730"/>
      <c r="Q80" s="1731"/>
      <c r="R80" s="1730"/>
      <c r="S80" s="1731"/>
      <c r="T80" s="1730"/>
      <c r="U80" s="1731"/>
      <c r="V80" s="1730"/>
      <c r="W80" s="1731"/>
      <c r="X80" s="1730"/>
      <c r="Y80" s="1731"/>
      <c r="Z80" s="1777"/>
    </row>
    <row r="81" spans="1:26">
      <c r="A81" s="1742"/>
      <c r="B81" s="480"/>
      <c r="C81" s="480"/>
      <c r="D81" s="480"/>
      <c r="E81" s="481"/>
      <c r="F81" s="480"/>
      <c r="G81" s="481"/>
      <c r="H81" s="480"/>
      <c r="I81" s="1731"/>
      <c r="J81" s="1730"/>
      <c r="K81" s="1730"/>
      <c r="L81" s="1730"/>
      <c r="M81" s="1731"/>
      <c r="N81" s="1730"/>
      <c r="O81" s="1731"/>
      <c r="P81" s="1730"/>
      <c r="Q81" s="1731"/>
      <c r="R81" s="1730"/>
      <c r="S81" s="1731"/>
      <c r="T81" s="1730"/>
      <c r="U81" s="1731"/>
      <c r="V81" s="1730"/>
      <c r="W81" s="1731"/>
      <c r="X81" s="1730"/>
      <c r="Y81" s="1731"/>
      <c r="Z81" s="1777"/>
    </row>
    <row r="82" spans="1:26">
      <c r="A82" s="1742"/>
      <c r="B82" s="480"/>
      <c r="C82" s="480"/>
      <c r="D82" s="480"/>
      <c r="E82" s="481"/>
      <c r="F82" s="480"/>
      <c r="G82" s="481"/>
      <c r="H82" s="480"/>
      <c r="I82" s="1731"/>
      <c r="J82" s="1730"/>
      <c r="K82" s="1730"/>
      <c r="L82" s="1730"/>
      <c r="M82" s="1731"/>
      <c r="N82" s="1730"/>
      <c r="O82" s="1731"/>
      <c r="P82" s="1730"/>
      <c r="Q82" s="1731"/>
      <c r="R82" s="1730"/>
      <c r="S82" s="1731"/>
      <c r="T82" s="1730"/>
      <c r="U82" s="1731"/>
      <c r="V82" s="1730"/>
      <c r="W82" s="1731"/>
      <c r="X82" s="1730"/>
      <c r="Y82" s="1731"/>
      <c r="Z82" s="1777"/>
    </row>
    <row r="83" spans="1:26">
      <c r="A83" s="1742"/>
      <c r="B83" s="480"/>
      <c r="C83" s="480"/>
      <c r="D83" s="480"/>
      <c r="E83" s="481"/>
      <c r="F83" s="480"/>
      <c r="G83" s="481"/>
      <c r="H83" s="480"/>
      <c r="I83" s="1731"/>
      <c r="J83" s="1730"/>
      <c r="K83" s="1730"/>
      <c r="L83" s="1730"/>
      <c r="M83" s="1731"/>
      <c r="N83" s="1730"/>
      <c r="O83" s="1731"/>
      <c r="P83" s="1730"/>
      <c r="Q83" s="1731"/>
      <c r="R83" s="1730"/>
      <c r="S83" s="1731"/>
      <c r="T83" s="1730"/>
      <c r="U83" s="1731"/>
      <c r="V83" s="1730"/>
      <c r="W83" s="1731"/>
      <c r="X83" s="1730"/>
      <c r="Y83" s="1731"/>
      <c r="Z83" s="1777"/>
    </row>
    <row r="84" spans="1:26">
      <c r="A84" s="1742"/>
      <c r="B84" s="480"/>
      <c r="C84" s="480"/>
      <c r="D84" s="480"/>
      <c r="E84" s="481"/>
      <c r="F84" s="480"/>
      <c r="G84" s="481"/>
      <c r="H84" s="480"/>
      <c r="I84" s="1731"/>
      <c r="J84" s="1730"/>
      <c r="K84" s="1730"/>
      <c r="L84" s="1730"/>
      <c r="M84" s="1731"/>
      <c r="N84" s="1730"/>
      <c r="O84" s="1731"/>
      <c r="P84" s="1730"/>
      <c r="Q84" s="1731"/>
      <c r="R84" s="1730"/>
      <c r="S84" s="1731"/>
      <c r="T84" s="1730"/>
      <c r="U84" s="1731"/>
      <c r="V84" s="1730"/>
      <c r="W84" s="1731"/>
      <c r="X84" s="1730"/>
      <c r="Y84" s="1731"/>
      <c r="Z84" s="1777"/>
    </row>
    <row r="85" spans="1:26">
      <c r="A85" s="1742"/>
      <c r="B85" s="480"/>
      <c r="C85" s="480"/>
      <c r="D85" s="480"/>
      <c r="E85" s="481"/>
      <c r="F85" s="480"/>
      <c r="G85" s="481"/>
      <c r="H85" s="480"/>
      <c r="I85" s="1731"/>
      <c r="J85" s="1730"/>
      <c r="K85" s="1730"/>
      <c r="L85" s="1730"/>
      <c r="M85" s="1731"/>
      <c r="N85" s="1730"/>
      <c r="O85" s="1731"/>
      <c r="P85" s="1730"/>
      <c r="Q85" s="1731"/>
      <c r="R85" s="1730"/>
      <c r="S85" s="1731"/>
      <c r="T85" s="1730"/>
      <c r="U85" s="1731"/>
      <c r="V85" s="1730"/>
      <c r="W85" s="1731"/>
      <c r="X85" s="1730"/>
      <c r="Y85" s="1731"/>
      <c r="Z85" s="1777"/>
    </row>
    <row r="86" spans="1:26">
      <c r="A86" s="1742"/>
      <c r="B86" s="480"/>
      <c r="C86" s="480"/>
      <c r="D86" s="480"/>
      <c r="E86" s="481"/>
      <c r="F86" s="480"/>
      <c r="G86" s="481"/>
      <c r="H86" s="480"/>
      <c r="I86" s="1731"/>
      <c r="J86" s="1730"/>
      <c r="K86" s="1730"/>
      <c r="L86" s="1730"/>
      <c r="M86" s="1731"/>
      <c r="N86" s="1730"/>
      <c r="O86" s="1731"/>
      <c r="P86" s="1730"/>
      <c r="Q86" s="1731"/>
      <c r="R86" s="1730"/>
      <c r="S86" s="1731"/>
      <c r="T86" s="1730"/>
      <c r="U86" s="1731"/>
      <c r="V86" s="1730"/>
      <c r="W86" s="1731"/>
      <c r="X86" s="1730"/>
      <c r="Y86" s="1731"/>
      <c r="Z86" s="1777"/>
    </row>
    <row r="87" spans="1:26">
      <c r="A87" s="1742"/>
      <c r="B87" s="480"/>
      <c r="C87" s="480"/>
      <c r="D87" s="480"/>
      <c r="E87" s="481"/>
      <c r="F87" s="480"/>
      <c r="G87" s="481"/>
      <c r="H87" s="480"/>
      <c r="I87" s="1731"/>
      <c r="J87" s="1730"/>
      <c r="K87" s="1730"/>
      <c r="L87" s="1730"/>
      <c r="M87" s="1731"/>
      <c r="N87" s="1730"/>
      <c r="O87" s="1731"/>
      <c r="P87" s="1730"/>
      <c r="Q87" s="1731"/>
      <c r="R87" s="1730"/>
      <c r="S87" s="1731"/>
      <c r="T87" s="1730"/>
      <c r="U87" s="1731"/>
      <c r="V87" s="1730"/>
      <c r="W87" s="1731"/>
      <c r="X87" s="1730"/>
      <c r="Y87" s="1731"/>
      <c r="Z87" s="1777"/>
    </row>
    <row r="88" spans="1:26">
      <c r="A88" s="1742"/>
      <c r="B88" s="480"/>
      <c r="C88" s="480"/>
      <c r="D88" s="480"/>
      <c r="E88" s="481"/>
      <c r="F88" s="480"/>
      <c r="G88" s="481"/>
      <c r="H88" s="480"/>
      <c r="I88" s="1731"/>
      <c r="J88" s="1730"/>
      <c r="K88" s="1730"/>
      <c r="L88" s="1730"/>
      <c r="M88" s="1731"/>
      <c r="N88" s="1730"/>
      <c r="O88" s="1731"/>
      <c r="P88" s="1730"/>
      <c r="Q88" s="1731"/>
      <c r="R88" s="1730"/>
      <c r="S88" s="1731"/>
      <c r="T88" s="1730"/>
      <c r="U88" s="1731"/>
      <c r="V88" s="1730"/>
      <c r="W88" s="1731"/>
      <c r="X88" s="1730"/>
      <c r="Y88" s="1731"/>
      <c r="Z88" s="1777"/>
    </row>
    <row r="89" spans="1:26">
      <c r="A89" s="1742"/>
      <c r="B89" s="480"/>
      <c r="C89" s="480"/>
      <c r="D89" s="480"/>
      <c r="E89" s="481"/>
      <c r="F89" s="480"/>
      <c r="G89" s="481"/>
      <c r="H89" s="480"/>
      <c r="I89" s="1731"/>
      <c r="J89" s="1730"/>
      <c r="K89" s="1730"/>
      <c r="L89" s="1730"/>
      <c r="M89" s="1731"/>
      <c r="N89" s="1730"/>
      <c r="O89" s="1731"/>
      <c r="P89" s="1730"/>
      <c r="Q89" s="1731"/>
      <c r="R89" s="1730"/>
      <c r="S89" s="1731"/>
      <c r="T89" s="1730"/>
      <c r="U89" s="1731"/>
      <c r="V89" s="1730"/>
      <c r="W89" s="1731"/>
      <c r="X89" s="1730"/>
      <c r="Y89" s="1731"/>
      <c r="Z89" s="1777"/>
    </row>
    <row r="90" spans="1:26">
      <c r="A90" s="1742"/>
      <c r="B90" s="480"/>
      <c r="C90" s="480"/>
      <c r="D90" s="480"/>
      <c r="E90" s="481"/>
      <c r="F90" s="480"/>
      <c r="G90" s="481"/>
      <c r="H90" s="480"/>
      <c r="I90" s="1731"/>
      <c r="J90" s="1730"/>
      <c r="K90" s="1730"/>
      <c r="L90" s="1730"/>
      <c r="M90" s="1731"/>
      <c r="N90" s="1730"/>
      <c r="O90" s="1731"/>
      <c r="P90" s="1730"/>
      <c r="Q90" s="1731"/>
      <c r="R90" s="1730"/>
      <c r="S90" s="1731"/>
      <c r="T90" s="1730"/>
      <c r="U90" s="1731"/>
      <c r="V90" s="1730"/>
      <c r="W90" s="1731"/>
      <c r="X90" s="1730"/>
      <c r="Y90" s="1731"/>
      <c r="Z90" s="1777"/>
    </row>
    <row r="91" spans="1:26">
      <c r="A91" s="1742"/>
      <c r="B91" s="480"/>
      <c r="C91" s="480"/>
      <c r="D91" s="480"/>
      <c r="E91" s="481"/>
      <c r="F91" s="480"/>
      <c r="G91" s="481"/>
      <c r="H91" s="480"/>
      <c r="I91" s="1731"/>
      <c r="J91" s="1730"/>
      <c r="K91" s="1730"/>
      <c r="L91" s="1730"/>
      <c r="M91" s="1731"/>
      <c r="N91" s="1730"/>
      <c r="O91" s="1731"/>
      <c r="P91" s="1730"/>
      <c r="Q91" s="1731"/>
      <c r="R91" s="1730"/>
      <c r="S91" s="1731"/>
      <c r="T91" s="1730"/>
      <c r="U91" s="1731"/>
      <c r="V91" s="1730"/>
      <c r="W91" s="1731"/>
      <c r="X91" s="1730"/>
      <c r="Y91" s="1731"/>
      <c r="Z91" s="1777"/>
    </row>
    <row r="92" spans="1:26">
      <c r="A92" s="1742"/>
      <c r="B92" s="480"/>
      <c r="C92" s="480"/>
      <c r="D92" s="480"/>
      <c r="E92" s="481"/>
      <c r="F92" s="480"/>
      <c r="G92" s="481"/>
      <c r="H92" s="480"/>
      <c r="I92" s="1731"/>
      <c r="J92" s="1730"/>
      <c r="K92" s="1730"/>
      <c r="L92" s="1730"/>
      <c r="M92" s="1731"/>
      <c r="N92" s="1730"/>
      <c r="O92" s="1731"/>
      <c r="P92" s="1730"/>
      <c r="Q92" s="1731"/>
      <c r="R92" s="1730"/>
      <c r="S92" s="1731"/>
      <c r="T92" s="1730"/>
      <c r="U92" s="1731"/>
      <c r="V92" s="1730"/>
      <c r="W92" s="1731"/>
      <c r="X92" s="1730"/>
      <c r="Y92" s="1731"/>
      <c r="Z92" s="1777"/>
    </row>
    <row r="93" spans="1:26">
      <c r="A93" s="1742"/>
      <c r="B93" s="480"/>
      <c r="C93" s="480"/>
      <c r="D93" s="480"/>
      <c r="E93" s="481"/>
      <c r="F93" s="480"/>
      <c r="G93" s="481"/>
      <c r="H93" s="480"/>
      <c r="I93" s="1731"/>
      <c r="J93" s="1730"/>
      <c r="K93" s="1730"/>
      <c r="L93" s="1730"/>
      <c r="M93" s="1731"/>
      <c r="N93" s="1730"/>
      <c r="O93" s="1731"/>
      <c r="P93" s="1730"/>
      <c r="Q93" s="1731"/>
      <c r="R93" s="1730"/>
      <c r="S93" s="1731"/>
      <c r="T93" s="1730"/>
      <c r="U93" s="1731"/>
      <c r="V93" s="1730"/>
      <c r="W93" s="1731"/>
      <c r="X93" s="1730"/>
      <c r="Y93" s="1731"/>
      <c r="Z93" s="1777"/>
    </row>
    <row r="94" spans="1:26">
      <c r="A94" s="1742"/>
      <c r="B94" s="480"/>
      <c r="C94" s="480"/>
      <c r="D94" s="480"/>
      <c r="E94" s="481"/>
      <c r="F94" s="480"/>
      <c r="G94" s="481"/>
      <c r="H94" s="480"/>
      <c r="I94" s="1731"/>
      <c r="J94" s="1730"/>
      <c r="K94" s="1730"/>
      <c r="L94" s="1730"/>
      <c r="M94" s="1731"/>
      <c r="N94" s="1730"/>
      <c r="O94" s="1731"/>
      <c r="P94" s="1730"/>
      <c r="Q94" s="1731"/>
      <c r="R94" s="1730"/>
      <c r="S94" s="1731"/>
      <c r="T94" s="1730"/>
      <c r="U94" s="1731"/>
      <c r="V94" s="1730"/>
      <c r="W94" s="1731"/>
      <c r="X94" s="1730"/>
      <c r="Y94" s="1731"/>
      <c r="Z94" s="1777"/>
    </row>
    <row r="95" spans="1:26">
      <c r="A95" s="1742"/>
      <c r="B95" s="480"/>
      <c r="C95" s="480"/>
      <c r="D95" s="480"/>
      <c r="E95" s="481"/>
      <c r="F95" s="480"/>
      <c r="G95" s="481"/>
      <c r="H95" s="480"/>
      <c r="I95" s="1731"/>
      <c r="J95" s="1730"/>
      <c r="K95" s="1730"/>
      <c r="L95" s="1730"/>
      <c r="M95" s="1731"/>
      <c r="N95" s="1730"/>
      <c r="O95" s="1731"/>
      <c r="P95" s="1730"/>
      <c r="Q95" s="1731"/>
      <c r="R95" s="1730"/>
      <c r="S95" s="1731"/>
      <c r="T95" s="1730"/>
      <c r="U95" s="1731"/>
      <c r="V95" s="1730"/>
      <c r="W95" s="1731"/>
      <c r="X95" s="1730"/>
      <c r="Y95" s="1731"/>
      <c r="Z95" s="1777"/>
    </row>
    <row r="96" spans="1:26">
      <c r="A96" s="1742"/>
      <c r="B96" s="480"/>
      <c r="C96" s="480"/>
      <c r="D96" s="480"/>
      <c r="E96" s="481"/>
      <c r="F96" s="480"/>
      <c r="G96" s="481"/>
      <c r="H96" s="480"/>
      <c r="I96" s="1731"/>
      <c r="J96" s="1730"/>
      <c r="K96" s="1730"/>
      <c r="L96" s="1730"/>
      <c r="M96" s="1731"/>
      <c r="N96" s="1730"/>
      <c r="O96" s="1731"/>
      <c r="P96" s="1730"/>
      <c r="Q96" s="1731"/>
      <c r="R96" s="1730"/>
      <c r="S96" s="1731"/>
      <c r="T96" s="1730"/>
      <c r="U96" s="1731"/>
      <c r="V96" s="1730"/>
      <c r="W96" s="1731"/>
      <c r="X96" s="1730"/>
      <c r="Y96" s="1731"/>
      <c r="Z96" s="1777"/>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65625" defaultRowHeight="12.5"/>
  <cols>
    <col min="1" max="1" width="54.765625" style="905" customWidth="1"/>
    <col min="2" max="2" width="22.07421875" style="905" customWidth="1"/>
    <col min="3" max="3" width="24.765625" style="905" customWidth="1"/>
    <col min="4" max="4" width="30.765625" style="905" customWidth="1"/>
    <col min="5" max="5" width="2" style="907" customWidth="1"/>
    <col min="6" max="6" width="13" style="1939" bestFit="1" customWidth="1"/>
    <col min="7" max="7" width="8.765625" style="907"/>
    <col min="8" max="16384" width="8.765625" style="905"/>
  </cols>
  <sheetData>
    <row r="1" spans="1:7">
      <c r="A1" s="3055" t="s">
        <v>885</v>
      </c>
      <c r="B1" s="1576"/>
      <c r="C1" s="1576"/>
      <c r="D1" s="1576"/>
      <c r="E1" s="906"/>
    </row>
    <row r="2" spans="1:7">
      <c r="A2" s="3056"/>
      <c r="B2" s="1576"/>
      <c r="C2" s="1576"/>
      <c r="D2" s="1490"/>
      <c r="E2" s="906"/>
    </row>
    <row r="3" spans="1:7" s="912" customFormat="1" ht="15.5">
      <c r="A3" s="1537" t="s">
        <v>493</v>
      </c>
      <c r="B3" s="1576"/>
      <c r="C3" s="1576"/>
      <c r="D3" s="3404" t="s">
        <v>494</v>
      </c>
      <c r="E3" s="3022"/>
      <c r="F3" s="1940"/>
      <c r="G3" s="621"/>
    </row>
    <row r="4" spans="1:7" s="912" customFormat="1" ht="15.5">
      <c r="A4" s="1537" t="s">
        <v>495</v>
      </c>
      <c r="B4" s="1576"/>
      <c r="C4" s="1576"/>
      <c r="D4" s="1576"/>
      <c r="E4" s="3022"/>
      <c r="F4" s="1940"/>
      <c r="G4" s="621"/>
    </row>
    <row r="5" spans="1:7" s="912" customFormat="1" ht="15.5">
      <c r="A5" s="1537" t="s">
        <v>496</v>
      </c>
      <c r="B5" s="1576"/>
      <c r="C5" s="1576"/>
      <c r="D5" s="1576"/>
      <c r="E5" s="3022"/>
      <c r="F5" s="1940"/>
      <c r="G5" s="621"/>
    </row>
    <row r="6" spans="1:7" s="912" customFormat="1" ht="15.5">
      <c r="A6" s="1538" t="str">
        <f>'HCRA '!A6</f>
        <v xml:space="preserve">FISCAL YEAR 2021-2022   </v>
      </c>
      <c r="B6" s="1576"/>
      <c r="C6" s="1576"/>
      <c r="D6" s="1576"/>
      <c r="E6" s="3022"/>
      <c r="F6" s="1940"/>
      <c r="G6" s="621"/>
    </row>
    <row r="7" spans="1:7" ht="13">
      <c r="A7" s="1538"/>
      <c r="B7" s="1576"/>
      <c r="C7" s="1576"/>
      <c r="D7" s="1576"/>
      <c r="E7" s="906"/>
    </row>
    <row r="8" spans="1:7" ht="27" customHeight="1">
      <c r="A8" s="3547" t="s">
        <v>497</v>
      </c>
      <c r="B8" s="3547" t="s">
        <v>1230</v>
      </c>
      <c r="C8" s="3547" t="s">
        <v>1432</v>
      </c>
      <c r="D8" s="3548" t="s">
        <v>1526</v>
      </c>
      <c r="E8" s="3023"/>
    </row>
    <row r="9" spans="1:7" s="912" customFormat="1" ht="13">
      <c r="A9" s="3592" t="s">
        <v>498</v>
      </c>
      <c r="B9" s="3632">
        <v>8827000</v>
      </c>
      <c r="C9" s="3632">
        <v>192256.88999999998</v>
      </c>
      <c r="D9" s="3632">
        <v>192256.88999999998</v>
      </c>
      <c r="E9" s="1637"/>
      <c r="F9" s="1940"/>
      <c r="G9" s="621"/>
    </row>
    <row r="10" spans="1:7" s="912" customFormat="1" ht="15.5">
      <c r="A10" s="3555" t="s">
        <v>1231</v>
      </c>
      <c r="B10" s="3556">
        <v>8827000</v>
      </c>
      <c r="C10" s="3556">
        <v>192256.88999999998</v>
      </c>
      <c r="D10" s="3556">
        <v>192256.88999999998</v>
      </c>
      <c r="E10" s="3024"/>
      <c r="F10" s="1940"/>
      <c r="G10" s="621"/>
    </row>
    <row r="11" spans="1:7" s="912" customFormat="1" ht="13">
      <c r="A11" s="3592" t="s">
        <v>499</v>
      </c>
      <c r="B11" s="3593">
        <v>1901406000</v>
      </c>
      <c r="C11" s="3593">
        <v>32767435.079999998</v>
      </c>
      <c r="D11" s="3593">
        <v>32767435.079999998</v>
      </c>
      <c r="E11" s="1637"/>
      <c r="F11" s="1940"/>
      <c r="G11" s="621"/>
    </row>
    <row r="12" spans="1:7" s="912" customFormat="1">
      <c r="A12" s="3555" t="s">
        <v>1232</v>
      </c>
      <c r="B12" s="3556">
        <v>1901406000</v>
      </c>
      <c r="C12" s="3556">
        <v>32767435.079999998</v>
      </c>
      <c r="D12" s="3556">
        <v>32767435.079999998</v>
      </c>
      <c r="E12" s="1637"/>
      <c r="F12" s="1940"/>
      <c r="G12" s="621"/>
    </row>
    <row r="13" spans="1:7" s="912" customFormat="1" ht="13">
      <c r="A13" s="3592" t="s">
        <v>500</v>
      </c>
      <c r="B13" s="3593">
        <v>120000</v>
      </c>
      <c r="C13" s="3593">
        <v>0</v>
      </c>
      <c r="D13" s="3593">
        <v>0</v>
      </c>
      <c r="E13" s="1637"/>
      <c r="F13" s="1940"/>
      <c r="G13" s="621"/>
    </row>
    <row r="14" spans="1:7" s="912" customFormat="1">
      <c r="A14" s="3555" t="s">
        <v>1233</v>
      </c>
      <c r="B14" s="3556">
        <v>120000</v>
      </c>
      <c r="C14" s="3556">
        <v>0</v>
      </c>
      <c r="D14" s="3556">
        <v>0</v>
      </c>
      <c r="E14" s="1637"/>
      <c r="F14" s="1940"/>
      <c r="G14" s="621"/>
    </row>
    <row r="15" spans="1:7" s="912" customFormat="1" ht="13">
      <c r="A15" s="3592" t="s">
        <v>1125</v>
      </c>
      <c r="B15" s="3593">
        <v>234330000</v>
      </c>
      <c r="C15" s="3593">
        <v>3372956.9600000004</v>
      </c>
      <c r="D15" s="3593">
        <v>3372956.9600000004</v>
      </c>
      <c r="E15" s="1637"/>
      <c r="F15" s="1940"/>
      <c r="G15" s="621"/>
    </row>
    <row r="16" spans="1:7" s="912" customFormat="1">
      <c r="A16" s="3555" t="s">
        <v>1234</v>
      </c>
      <c r="B16" s="3556">
        <v>234330000</v>
      </c>
      <c r="C16" s="3556">
        <v>3372956.9600000004</v>
      </c>
      <c r="D16" s="3556">
        <v>3372956.9600000004</v>
      </c>
      <c r="E16" s="1637"/>
      <c r="F16" s="1940"/>
      <c r="G16" s="621"/>
    </row>
    <row r="17" spans="1:7" s="912" customFormat="1" ht="13">
      <c r="A17" s="3592" t="s">
        <v>501</v>
      </c>
      <c r="B17" s="3593">
        <v>1240915059.03</v>
      </c>
      <c r="C17" s="3593">
        <v>389897.49</v>
      </c>
      <c r="D17" s="3593">
        <v>389897.49</v>
      </c>
      <c r="E17" s="1637"/>
      <c r="F17" s="1940"/>
      <c r="G17" s="621"/>
    </row>
    <row r="18" spans="1:7" s="912" customFormat="1">
      <c r="A18" s="3555" t="s">
        <v>1235</v>
      </c>
      <c r="B18" s="3556">
        <v>82100000</v>
      </c>
      <c r="C18" s="3556">
        <v>0</v>
      </c>
      <c r="D18" s="3556">
        <v>0</v>
      </c>
      <c r="E18" s="1637"/>
      <c r="F18" s="1940"/>
      <c r="G18" s="621"/>
    </row>
    <row r="19" spans="1:7" s="912" customFormat="1">
      <c r="A19" s="3555" t="s">
        <v>1236</v>
      </c>
      <c r="B19" s="3556">
        <v>3537000</v>
      </c>
      <c r="C19" s="3556">
        <v>0</v>
      </c>
      <c r="D19" s="3556">
        <v>0</v>
      </c>
      <c r="E19" s="1637"/>
      <c r="F19" s="1940"/>
      <c r="G19" s="621"/>
    </row>
    <row r="20" spans="1:7" s="912" customFormat="1">
      <c r="A20" s="3555" t="s">
        <v>1237</v>
      </c>
      <c r="B20" s="3556">
        <v>3387000</v>
      </c>
      <c r="C20" s="3556">
        <v>0</v>
      </c>
      <c r="D20" s="3556">
        <v>0</v>
      </c>
      <c r="E20" s="1637"/>
      <c r="F20" s="1940"/>
      <c r="G20" s="621"/>
    </row>
    <row r="21" spans="1:7" s="912" customFormat="1">
      <c r="A21" s="3555" t="s">
        <v>1238</v>
      </c>
      <c r="B21" s="3556">
        <v>5800000</v>
      </c>
      <c r="C21" s="3556">
        <v>0</v>
      </c>
      <c r="D21" s="3556">
        <v>0</v>
      </c>
      <c r="E21" s="1637"/>
      <c r="F21" s="1940"/>
      <c r="G21" s="621"/>
    </row>
    <row r="22" spans="1:7" s="912" customFormat="1">
      <c r="A22" s="3555" t="s">
        <v>1239</v>
      </c>
      <c r="B22" s="3556">
        <v>108800000</v>
      </c>
      <c r="C22" s="3556">
        <v>0</v>
      </c>
      <c r="D22" s="3556">
        <v>0</v>
      </c>
      <c r="E22" s="1637"/>
      <c r="F22" s="1940"/>
      <c r="G22" s="621"/>
    </row>
    <row r="23" spans="1:7" s="912" customFormat="1">
      <c r="A23" s="3555" t="s">
        <v>1240</v>
      </c>
      <c r="B23" s="3556">
        <v>4782000</v>
      </c>
      <c r="C23" s="3556">
        <v>0</v>
      </c>
      <c r="D23" s="3556">
        <v>0</v>
      </c>
      <c r="E23" s="1637"/>
      <c r="F23" s="1940"/>
      <c r="G23" s="621"/>
    </row>
    <row r="24" spans="1:7" s="912" customFormat="1">
      <c r="A24" s="3555" t="s">
        <v>1241</v>
      </c>
      <c r="B24" s="3556">
        <v>6890000</v>
      </c>
      <c r="C24" s="3556">
        <v>0</v>
      </c>
      <c r="D24" s="3556">
        <v>0</v>
      </c>
      <c r="E24" s="1637"/>
      <c r="F24" s="1940"/>
      <c r="G24" s="621"/>
    </row>
    <row r="25" spans="1:7" s="912" customFormat="1">
      <c r="A25" s="3555" t="s">
        <v>1242</v>
      </c>
      <c r="B25" s="3556">
        <v>9440000</v>
      </c>
      <c r="C25" s="3556">
        <v>107000</v>
      </c>
      <c r="D25" s="3556">
        <v>107000</v>
      </c>
      <c r="E25" s="1637"/>
      <c r="F25" s="1940"/>
      <c r="G25" s="621"/>
    </row>
    <row r="26" spans="1:7" s="912" customFormat="1">
      <c r="A26" s="3555" t="s">
        <v>1243</v>
      </c>
      <c r="B26" s="3556">
        <v>39200000</v>
      </c>
      <c r="C26" s="3556">
        <v>0</v>
      </c>
      <c r="D26" s="3556">
        <v>0</v>
      </c>
      <c r="E26" s="1637"/>
      <c r="F26" s="1940"/>
      <c r="G26" s="621"/>
    </row>
    <row r="27" spans="1:7" s="912" customFormat="1">
      <c r="A27" s="3555" t="s">
        <v>1244</v>
      </c>
      <c r="B27" s="3556">
        <v>18320000</v>
      </c>
      <c r="C27" s="3556">
        <v>-190.1</v>
      </c>
      <c r="D27" s="3556">
        <v>-190.1</v>
      </c>
      <c r="E27" s="906"/>
      <c r="F27" s="1940"/>
      <c r="G27" s="621"/>
    </row>
    <row r="28" spans="1:7" s="912" customFormat="1">
      <c r="A28" s="3555" t="s">
        <v>1245</v>
      </c>
      <c r="B28" s="3556">
        <v>5733000</v>
      </c>
      <c r="C28" s="3556">
        <v>0</v>
      </c>
      <c r="D28" s="3556">
        <v>0</v>
      </c>
      <c r="E28" s="906"/>
      <c r="F28" s="1940"/>
      <c r="G28" s="621"/>
    </row>
    <row r="29" spans="1:7">
      <c r="A29" s="3555" t="s">
        <v>1246</v>
      </c>
      <c r="B29" s="3556">
        <v>52000000</v>
      </c>
      <c r="C29" s="3556">
        <v>0</v>
      </c>
      <c r="D29" s="3556">
        <v>0</v>
      </c>
      <c r="E29" s="906"/>
    </row>
    <row r="30" spans="1:7">
      <c r="A30" s="3555" t="s">
        <v>1247</v>
      </c>
      <c r="B30" s="3556">
        <v>2200000</v>
      </c>
      <c r="C30" s="3556">
        <v>0</v>
      </c>
      <c r="D30" s="3556">
        <v>0</v>
      </c>
      <c r="E30" s="906"/>
    </row>
    <row r="31" spans="1:7">
      <c r="A31" s="3555" t="s">
        <v>1248</v>
      </c>
      <c r="B31" s="3556">
        <v>207200000</v>
      </c>
      <c r="C31" s="3556">
        <v>0</v>
      </c>
      <c r="D31" s="3556">
        <v>0</v>
      </c>
      <c r="E31" s="906"/>
    </row>
    <row r="32" spans="1:7">
      <c r="A32" s="3555" t="s">
        <v>1249</v>
      </c>
      <c r="B32" s="3556">
        <v>36260000</v>
      </c>
      <c r="C32" s="3556">
        <v>56764.5</v>
      </c>
      <c r="D32" s="3556">
        <v>56764.5</v>
      </c>
      <c r="E32" s="906"/>
    </row>
    <row r="33" spans="1:5" ht="13">
      <c r="A33" s="3555" t="s">
        <v>1250</v>
      </c>
      <c r="B33" s="3556">
        <v>974000</v>
      </c>
      <c r="C33" s="3556">
        <v>0</v>
      </c>
      <c r="D33" s="3556">
        <v>0</v>
      </c>
      <c r="E33" s="3025"/>
    </row>
    <row r="34" spans="1:5">
      <c r="A34" s="3555" t="s">
        <v>1251</v>
      </c>
      <c r="B34" s="3556">
        <v>8720000</v>
      </c>
      <c r="C34" s="3556">
        <v>0</v>
      </c>
      <c r="D34" s="3556">
        <v>0</v>
      </c>
      <c r="E34" s="906"/>
    </row>
    <row r="35" spans="1:5">
      <c r="A35" s="3555" t="s">
        <v>1252</v>
      </c>
      <c r="B35" s="3556">
        <v>5300000</v>
      </c>
      <c r="C35" s="3556">
        <v>226323.09</v>
      </c>
      <c r="D35" s="3556">
        <v>226323.09</v>
      </c>
      <c r="E35" s="906"/>
    </row>
    <row r="36" spans="1:5">
      <c r="A36" s="3555" t="s">
        <v>1253</v>
      </c>
      <c r="B36" s="3556">
        <v>89426000</v>
      </c>
      <c r="C36" s="3556">
        <v>0</v>
      </c>
      <c r="D36" s="3556">
        <v>0</v>
      </c>
      <c r="E36" s="906"/>
    </row>
    <row r="37" spans="1:5">
      <c r="A37" s="3555" t="s">
        <v>1292</v>
      </c>
      <c r="B37" s="3556">
        <v>50000</v>
      </c>
      <c r="C37" s="3556">
        <v>0</v>
      </c>
      <c r="D37" s="3556">
        <v>0</v>
      </c>
      <c r="E37" s="906"/>
    </row>
    <row r="38" spans="1:5">
      <c r="A38" s="3555" t="s">
        <v>1254</v>
      </c>
      <c r="B38" s="3556">
        <v>15950000</v>
      </c>
      <c r="C38" s="3556">
        <v>0</v>
      </c>
      <c r="D38" s="3556">
        <v>0</v>
      </c>
      <c r="E38" s="906"/>
    </row>
    <row r="39" spans="1:5">
      <c r="A39" s="3555" t="s">
        <v>1381</v>
      </c>
      <c r="B39" s="3556">
        <v>18820000</v>
      </c>
      <c r="C39" s="3556">
        <v>0</v>
      </c>
      <c r="D39" s="3556">
        <v>0</v>
      </c>
      <c r="E39" s="906"/>
    </row>
    <row r="40" spans="1:5">
      <c r="A40" s="3555" t="s">
        <v>1389</v>
      </c>
      <c r="B40" s="3556">
        <v>2200000</v>
      </c>
      <c r="C40" s="3556">
        <v>0</v>
      </c>
      <c r="D40" s="3556">
        <v>0</v>
      </c>
      <c r="E40" s="906"/>
    </row>
    <row r="41" spans="1:5">
      <c r="A41" s="3555" t="s">
        <v>1255</v>
      </c>
      <c r="B41" s="3556">
        <v>11610000</v>
      </c>
      <c r="C41" s="3556">
        <v>0</v>
      </c>
      <c r="D41" s="3556">
        <v>0</v>
      </c>
      <c r="E41" s="906"/>
    </row>
    <row r="42" spans="1:5">
      <c r="A42" s="3555" t="s">
        <v>1256</v>
      </c>
      <c r="B42" s="3556">
        <v>4230000</v>
      </c>
      <c r="C42" s="3556">
        <v>0</v>
      </c>
      <c r="D42" s="3556">
        <v>0</v>
      </c>
      <c r="E42" s="906"/>
    </row>
    <row r="43" spans="1:5">
      <c r="A43" s="3555" t="s">
        <v>1257</v>
      </c>
      <c r="B43" s="3556">
        <v>8460000</v>
      </c>
      <c r="C43" s="3556">
        <v>0</v>
      </c>
      <c r="D43" s="3556">
        <v>0</v>
      </c>
      <c r="E43" s="906"/>
    </row>
    <row r="44" spans="1:5">
      <c r="A44" s="3555" t="s">
        <v>1258</v>
      </c>
      <c r="B44" s="3556">
        <v>489526059.02999997</v>
      </c>
      <c r="C44" s="3556">
        <v>0</v>
      </c>
      <c r="D44" s="3556">
        <v>0</v>
      </c>
      <c r="E44" s="906"/>
    </row>
    <row r="45" spans="1:5" ht="13">
      <c r="A45" s="3592" t="s">
        <v>502</v>
      </c>
      <c r="B45" s="3593">
        <v>28799805000</v>
      </c>
      <c r="C45" s="3593">
        <v>352851205.5</v>
      </c>
      <c r="D45" s="3593">
        <v>352851205.5</v>
      </c>
      <c r="E45" s="906"/>
    </row>
    <row r="46" spans="1:5">
      <c r="A46" s="3555" t="s">
        <v>1259</v>
      </c>
      <c r="B46" s="3556">
        <v>300000000</v>
      </c>
      <c r="C46" s="3556">
        <v>0</v>
      </c>
      <c r="D46" s="3556">
        <v>0</v>
      </c>
      <c r="E46" s="906"/>
    </row>
    <row r="47" spans="1:5">
      <c r="A47" s="3555" t="s">
        <v>1260</v>
      </c>
      <c r="B47" s="3556">
        <v>4387400000</v>
      </c>
      <c r="C47" s="3556">
        <v>52851205.5</v>
      </c>
      <c r="D47" s="3556">
        <v>52851205.5</v>
      </c>
      <c r="E47" s="906"/>
    </row>
    <row r="48" spans="1:5">
      <c r="A48" s="3555" t="s">
        <v>1261</v>
      </c>
      <c r="B48" s="3556">
        <v>23129205000</v>
      </c>
      <c r="C48" s="3556">
        <v>300000000</v>
      </c>
      <c r="D48" s="3556">
        <v>300000000</v>
      </c>
      <c r="E48" s="906"/>
    </row>
    <row r="49" spans="1:5">
      <c r="A49" s="3555" t="s">
        <v>1262</v>
      </c>
      <c r="B49" s="3556">
        <v>916000000</v>
      </c>
      <c r="C49" s="3556">
        <v>0</v>
      </c>
      <c r="D49" s="3556">
        <v>0</v>
      </c>
      <c r="E49" s="906"/>
    </row>
    <row r="50" spans="1:5">
      <c r="A50" s="3555" t="s">
        <v>1263</v>
      </c>
      <c r="B50" s="3556">
        <v>67200000</v>
      </c>
      <c r="C50" s="3556">
        <v>0</v>
      </c>
      <c r="D50" s="3556">
        <v>0</v>
      </c>
      <c r="E50" s="906"/>
    </row>
    <row r="51" spans="1:5" ht="13">
      <c r="A51" s="3592" t="s">
        <v>1278</v>
      </c>
      <c r="B51" s="3593">
        <v>85091000</v>
      </c>
      <c r="C51" s="3593">
        <v>1505508.5700000003</v>
      </c>
      <c r="D51" s="3593">
        <v>1505508.5700000003</v>
      </c>
      <c r="E51" s="906"/>
    </row>
    <row r="52" spans="1:5">
      <c r="A52" s="3555" t="s">
        <v>1279</v>
      </c>
      <c r="B52" s="3556">
        <v>85091000</v>
      </c>
      <c r="C52" s="3556">
        <v>1505508.5700000003</v>
      </c>
      <c r="D52" s="3556">
        <v>1505508.5700000003</v>
      </c>
      <c r="E52" s="906"/>
    </row>
    <row r="53" spans="1:5" ht="13">
      <c r="A53" s="3592" t="s">
        <v>503</v>
      </c>
      <c r="B53" s="3593">
        <v>1834000</v>
      </c>
      <c r="C53" s="3593">
        <v>0</v>
      </c>
      <c r="D53" s="3593">
        <v>0</v>
      </c>
      <c r="E53" s="906"/>
    </row>
    <row r="54" spans="1:5">
      <c r="A54" s="3555" t="s">
        <v>1264</v>
      </c>
      <c r="B54" s="3556">
        <v>1834000</v>
      </c>
      <c r="C54" s="3556">
        <v>0</v>
      </c>
      <c r="D54" s="3556">
        <v>0</v>
      </c>
      <c r="E54" s="906"/>
    </row>
    <row r="55" spans="1:5" ht="13">
      <c r="A55" s="3592" t="s">
        <v>504</v>
      </c>
      <c r="B55" s="3593">
        <v>35795000</v>
      </c>
      <c r="C55" s="3593">
        <v>970182.6100000001</v>
      </c>
      <c r="D55" s="3593">
        <v>970182.6100000001</v>
      </c>
      <c r="E55" s="906"/>
    </row>
    <row r="56" spans="1:5">
      <c r="A56" s="3555" t="s">
        <v>1265</v>
      </c>
      <c r="B56" s="3556">
        <v>35795000</v>
      </c>
      <c r="C56" s="3556">
        <v>970182.6100000001</v>
      </c>
      <c r="D56" s="3556">
        <v>970182.6100000001</v>
      </c>
      <c r="E56" s="906"/>
    </row>
    <row r="57" spans="1:5" ht="13">
      <c r="A57" s="3592" t="s">
        <v>1165</v>
      </c>
      <c r="B57" s="3593">
        <v>8190000</v>
      </c>
      <c r="C57" s="3593">
        <v>0</v>
      </c>
      <c r="D57" s="3593">
        <v>0</v>
      </c>
      <c r="E57" s="906"/>
    </row>
    <row r="58" spans="1:5">
      <c r="A58" s="3555" t="s">
        <v>1165</v>
      </c>
      <c r="B58" s="3556">
        <v>8190000</v>
      </c>
      <c r="C58" s="3556">
        <v>0</v>
      </c>
      <c r="D58" s="3556">
        <v>0</v>
      </c>
      <c r="E58" s="906"/>
    </row>
    <row r="59" spans="1:5" ht="13">
      <c r="A59" s="3751" t="s">
        <v>544</v>
      </c>
      <c r="B59" s="3753">
        <v>32316313059.029999</v>
      </c>
      <c r="C59" s="3753">
        <v>392049443.10000002</v>
      </c>
      <c r="D59" s="3753">
        <v>392049443.10000002</v>
      </c>
      <c r="E59" s="906"/>
    </row>
    <row r="60" spans="1:5" ht="15" customHeight="1">
      <c r="A60" s="3566" t="s">
        <v>505</v>
      </c>
      <c r="B60" s="3752"/>
      <c r="C60" s="3567">
        <v>-208609.81</v>
      </c>
      <c r="D60" s="3567">
        <v>-208609.81</v>
      </c>
      <c r="E60" s="906"/>
    </row>
    <row r="61" spans="1:5" ht="15.65" customHeight="1">
      <c r="A61" s="3566" t="s">
        <v>1215</v>
      </c>
      <c r="B61" s="3752"/>
      <c r="C61" s="3567">
        <v>0</v>
      </c>
      <c r="D61" s="3567">
        <v>0</v>
      </c>
      <c r="E61" s="906"/>
    </row>
    <row r="62" spans="1:5" ht="12.75" customHeight="1">
      <c r="A62" s="3566" t="s">
        <v>1216</v>
      </c>
      <c r="B62" s="3567"/>
      <c r="C62" s="3567">
        <v>0</v>
      </c>
      <c r="D62" s="3567">
        <v>0</v>
      </c>
      <c r="E62" s="3026"/>
    </row>
    <row r="63" spans="1:5">
      <c r="A63" s="3566" t="s">
        <v>506</v>
      </c>
      <c r="B63" s="3567"/>
      <c r="C63" s="3567">
        <v>-12910.22</v>
      </c>
      <c r="D63" s="3567">
        <v>-12910.22</v>
      </c>
      <c r="E63" s="906"/>
    </row>
    <row r="64" spans="1:5" ht="13.5" thickBot="1">
      <c r="A64" s="3550" t="s">
        <v>1266</v>
      </c>
      <c r="B64" s="3582">
        <v>32316313059.029999</v>
      </c>
      <c r="C64" s="3582">
        <v>391827923.06999999</v>
      </c>
      <c r="D64" s="3582">
        <v>391827923.06999999</v>
      </c>
      <c r="E64" s="906"/>
    </row>
    <row r="65" spans="1:5" ht="13" thickTop="1">
      <c r="A65" s="1576"/>
      <c r="B65" s="3549"/>
      <c r="C65" s="3549"/>
      <c r="D65" s="3549"/>
      <c r="E65" s="906"/>
    </row>
    <row r="66" spans="1:5">
      <c r="A66" s="3551" t="s">
        <v>1527</v>
      </c>
      <c r="B66" s="1576"/>
      <c r="C66" s="1576"/>
      <c r="D66" s="1576"/>
      <c r="E66" s="906"/>
    </row>
    <row r="67" spans="1:5">
      <c r="A67" s="3551" t="s">
        <v>884</v>
      </c>
      <c r="B67" s="1576"/>
      <c r="C67" s="1576"/>
      <c r="D67" s="1576"/>
      <c r="E67" s="906"/>
    </row>
    <row r="68" spans="1:5" ht="13.4" customHeight="1">
      <c r="A68" s="3552" t="s">
        <v>856</v>
      </c>
      <c r="B68" s="1576"/>
      <c r="C68" s="1576"/>
      <c r="D68" s="1576"/>
    </row>
    <row r="69" spans="1:5" ht="12.75" customHeight="1">
      <c r="A69" s="3553" t="s">
        <v>857</v>
      </c>
      <c r="B69" s="1576"/>
      <c r="C69" s="1576"/>
      <c r="D69" s="3554"/>
    </row>
    <row r="70" spans="1:5">
      <c r="A70" s="3553" t="s">
        <v>858</v>
      </c>
      <c r="B70" s="1576"/>
      <c r="C70" s="1576"/>
      <c r="D70" s="3549"/>
    </row>
    <row r="71" spans="1:5">
      <c r="B71" s="913"/>
      <c r="C71" s="1580"/>
      <c r="D71" s="910"/>
    </row>
    <row r="72" spans="1:5">
      <c r="A72" s="908"/>
      <c r="B72" s="909"/>
      <c r="C72" s="3853"/>
      <c r="D72" s="3853"/>
    </row>
    <row r="73" spans="1:5">
      <c r="A73" s="908"/>
      <c r="B73" s="909"/>
      <c r="C73" s="3853"/>
      <c r="D73" s="3853"/>
    </row>
    <row r="74" spans="1:5">
      <c r="C74" s="3549"/>
      <c r="D74" s="3549"/>
    </row>
    <row r="75" spans="1:5">
      <c r="A75" s="909"/>
      <c r="B75" s="911"/>
      <c r="C75" s="3854"/>
      <c r="D75" s="3854"/>
    </row>
    <row r="76" spans="1:5" ht="12.75" customHeight="1">
      <c r="A76" s="909"/>
      <c r="B76" s="911"/>
      <c r="C76" s="3755"/>
      <c r="D76" s="3755"/>
    </row>
    <row r="77" spans="1:5" ht="12.75" customHeight="1">
      <c r="A77" s="909"/>
      <c r="B77" s="911"/>
      <c r="C77" s="3755" t="s">
        <v>14</v>
      </c>
      <c r="D77" s="911"/>
    </row>
    <row r="78" spans="1:5" ht="12.75" customHeight="1">
      <c r="A78" s="909"/>
      <c r="B78" s="911"/>
      <c r="C78" s="911"/>
      <c r="D78" s="911"/>
    </row>
    <row r="79" spans="1:5">
      <c r="A79" s="909"/>
      <c r="B79" s="911"/>
      <c r="C79" s="911"/>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5"/>
  <sheetViews>
    <sheetView showGridLines="0" zoomScale="90" zoomScaleNormal="70" workbookViewId="0"/>
  </sheetViews>
  <sheetFormatPr defaultColWidth="8.765625" defaultRowHeight="15" customHeight="1"/>
  <cols>
    <col min="1" max="1" width="55.07421875" style="1265" customWidth="1"/>
    <col min="2" max="2" width="4.765625" style="1265" customWidth="1"/>
    <col min="3" max="3" width="20.765625" style="1266" customWidth="1"/>
    <col min="4" max="4" width="1.765625" style="1265" customWidth="1"/>
    <col min="5" max="5" width="1.765625" style="1267" customWidth="1"/>
    <col min="6" max="6" width="20.07421875" style="1267" customWidth="1"/>
    <col min="7" max="8" width="8.765625" style="1266"/>
    <col min="9" max="16384" width="8.765625" style="1265"/>
  </cols>
  <sheetData>
    <row r="1" spans="1:8" ht="15" customHeight="1">
      <c r="A1" s="640" t="s">
        <v>885</v>
      </c>
    </row>
    <row r="2" spans="1:8" ht="15" customHeight="1">
      <c r="A2" s="1268"/>
    </row>
    <row r="3" spans="1:8" ht="15" customHeight="1">
      <c r="F3" s="1346" t="s">
        <v>507</v>
      </c>
    </row>
    <row r="4" spans="1:8" ht="18" customHeight="1">
      <c r="A4" s="1944" t="s">
        <v>493</v>
      </c>
      <c r="B4" s="1269"/>
      <c r="C4" s="1269"/>
      <c r="D4" s="1269"/>
      <c r="E4" s="1348"/>
      <c r="F4" s="1348"/>
    </row>
    <row r="5" spans="1:8" ht="18" customHeight="1">
      <c r="A5" s="1944" t="s">
        <v>800</v>
      </c>
      <c r="B5" s="1944"/>
      <c r="C5" s="1944"/>
      <c r="D5" s="1944"/>
      <c r="E5" s="1347"/>
      <c r="F5" s="1944"/>
    </row>
    <row r="6" spans="1:8" ht="18" customHeight="1">
      <c r="A6" s="1944" t="str">
        <f>'HCRA PROG DISB'!A6</f>
        <v xml:space="preserve">FISCAL YEAR 2021-2022   </v>
      </c>
      <c r="B6" s="1945"/>
      <c r="C6" s="1945"/>
      <c r="D6" s="1945"/>
      <c r="E6" s="1347"/>
      <c r="F6" s="1944"/>
    </row>
    <row r="7" spans="1:8" ht="15" customHeight="1">
      <c r="A7" s="1946"/>
      <c r="B7" s="1946"/>
      <c r="C7" s="1946"/>
      <c r="D7" s="1946"/>
      <c r="E7" s="1349"/>
      <c r="F7" s="1349"/>
    </row>
    <row r="8" spans="1:8" ht="15" customHeight="1">
      <c r="A8" s="1271"/>
      <c r="B8" s="1272"/>
      <c r="C8" s="1273"/>
      <c r="D8" s="1272"/>
      <c r="E8" s="1350"/>
      <c r="F8" s="1274"/>
    </row>
    <row r="9" spans="1:8" s="1277" customFormat="1" ht="15" customHeight="1">
      <c r="A9" s="1275"/>
      <c r="B9" s="1275"/>
      <c r="C9" s="1627">
        <v>2021</v>
      </c>
      <c r="D9" s="1275"/>
      <c r="E9" s="1276"/>
      <c r="F9" s="1276"/>
      <c r="G9" s="1264"/>
      <c r="H9" s="1264"/>
    </row>
    <row r="10" spans="1:8" ht="15" customHeight="1">
      <c r="A10" s="1278"/>
      <c r="B10" s="1278"/>
      <c r="C10" s="2222" t="s">
        <v>123</v>
      </c>
      <c r="D10" s="1278"/>
      <c r="E10" s="1270"/>
      <c r="F10" s="1279" t="s">
        <v>1431</v>
      </c>
    </row>
    <row r="11" spans="1:8" ht="15" customHeight="1">
      <c r="A11" s="1278"/>
      <c r="B11" s="1278"/>
      <c r="C11" s="1270"/>
      <c r="D11" s="1278"/>
      <c r="E11" s="1270"/>
      <c r="F11" s="1885"/>
    </row>
    <row r="12" spans="1:8" s="1277" customFormat="1" ht="15" customHeight="1">
      <c r="A12" s="1281" t="s">
        <v>470</v>
      </c>
      <c r="B12" s="1281"/>
      <c r="C12" s="1282">
        <v>293876869.61000001</v>
      </c>
      <c r="D12" s="1281"/>
      <c r="E12" s="1283"/>
      <c r="F12" s="1351">
        <f>C12</f>
        <v>293876869.61000001</v>
      </c>
      <c r="G12" s="1264"/>
      <c r="H12" s="1264"/>
    </row>
    <row r="13" spans="1:8" ht="15" customHeight="1">
      <c r="A13" s="1281"/>
      <c r="B13" s="1278"/>
      <c r="C13" s="1280"/>
      <c r="D13" s="1278"/>
      <c r="E13" s="1284"/>
      <c r="F13" s="1287"/>
    </row>
    <row r="14" spans="1:8" ht="15" customHeight="1">
      <c r="A14" s="1281" t="s">
        <v>13</v>
      </c>
      <c r="B14" s="1278"/>
      <c r="C14" s="1285"/>
      <c r="D14" s="1278"/>
      <c r="E14" s="1286"/>
      <c r="F14" s="1287"/>
    </row>
    <row r="15" spans="1:8" ht="15" customHeight="1">
      <c r="A15" s="1278" t="s">
        <v>509</v>
      </c>
      <c r="B15" s="1278"/>
      <c r="C15" s="1253">
        <v>340332824.17000002</v>
      </c>
      <c r="D15" s="1278"/>
      <c r="E15" s="1286"/>
      <c r="F15" s="1287">
        <f t="shared" ref="F15:F21" si="0">SUM(C15:E15)</f>
        <v>340332824.17000002</v>
      </c>
    </row>
    <row r="16" spans="1:8" ht="15" customHeight="1">
      <c r="A16" s="1278" t="s">
        <v>510</v>
      </c>
      <c r="B16" s="1278"/>
      <c r="C16" s="1253">
        <v>79187489.659999996</v>
      </c>
      <c r="D16" s="1278"/>
      <c r="E16" s="1286"/>
      <c r="F16" s="1287">
        <f t="shared" si="0"/>
        <v>79187489.659999996</v>
      </c>
    </row>
    <row r="17" spans="1:13" ht="15" customHeight="1">
      <c r="A17" s="1278" t="s">
        <v>511</v>
      </c>
      <c r="B17" s="1278"/>
      <c r="C17" s="1253">
        <v>10011629.869999999</v>
      </c>
      <c r="D17" s="1278"/>
      <c r="E17" s="1286"/>
      <c r="F17" s="1287">
        <f t="shared" si="0"/>
        <v>10011629.869999999</v>
      </c>
    </row>
    <row r="18" spans="1:13" ht="15" customHeight="1">
      <c r="A18" s="1278" t="s">
        <v>512</v>
      </c>
      <c r="B18" s="1278"/>
      <c r="C18" s="1253">
        <v>37193623</v>
      </c>
      <c r="D18" s="1278"/>
      <c r="E18" s="1286"/>
      <c r="F18" s="1287">
        <f t="shared" si="0"/>
        <v>37193623</v>
      </c>
    </row>
    <row r="19" spans="1:13" s="1474" customFormat="1" ht="18" customHeight="1">
      <c r="A19" s="1475" t="s">
        <v>513</v>
      </c>
      <c r="B19" s="1278"/>
      <c r="C19" s="784">
        <v>0</v>
      </c>
      <c r="D19" s="1278"/>
      <c r="E19" s="1286"/>
      <c r="F19" s="1287">
        <f t="shared" si="0"/>
        <v>0</v>
      </c>
      <c r="G19" s="1280"/>
      <c r="H19" s="1280"/>
    </row>
    <row r="20" spans="1:13" ht="15" customHeight="1">
      <c r="A20" s="1278" t="s">
        <v>514</v>
      </c>
      <c r="B20" s="1278"/>
      <c r="C20" s="1253">
        <v>923.44</v>
      </c>
      <c r="D20" s="1278"/>
      <c r="E20" s="1286"/>
      <c r="F20" s="1287">
        <f t="shared" si="0"/>
        <v>923.44</v>
      </c>
    </row>
    <row r="21" spans="1:13" ht="15" customHeight="1">
      <c r="A21" s="1278" t="s">
        <v>515</v>
      </c>
      <c r="B21" s="1278"/>
      <c r="C21" s="1951">
        <v>12280036.82</v>
      </c>
      <c r="D21" s="1278"/>
      <c r="E21" s="1288"/>
      <c r="F21" s="1287">
        <f t="shared" si="0"/>
        <v>12280036.82</v>
      </c>
      <c r="G21" s="1267"/>
    </row>
    <row r="22" spans="1:13" s="1277" customFormat="1" ht="15.5">
      <c r="A22" s="1281" t="s">
        <v>149</v>
      </c>
      <c r="B22" s="1281"/>
      <c r="C22" s="1952">
        <f>ROUND(SUM(C15:C21),2)</f>
        <v>479006526.95999998</v>
      </c>
      <c r="D22" s="1281"/>
      <c r="E22" s="1289"/>
      <c r="F22" s="1886">
        <f>ROUND(SUM(F15:F21),2)</f>
        <v>479006526.95999998</v>
      </c>
      <c r="G22" s="1291"/>
      <c r="H22" s="1264"/>
    </row>
    <row r="23" spans="1:13" ht="15" customHeight="1">
      <c r="A23" s="1278"/>
      <c r="B23" s="1278"/>
      <c r="C23" s="1285"/>
      <c r="D23" s="1278"/>
      <c r="E23" s="1286"/>
      <c r="F23" s="1287"/>
    </row>
    <row r="24" spans="1:13" ht="15" customHeight="1">
      <c r="A24" s="1281" t="s">
        <v>852</v>
      </c>
      <c r="B24" s="1278"/>
      <c r="C24" s="1292"/>
      <c r="D24" s="1278"/>
      <c r="E24" s="1286"/>
      <c r="F24" s="1287"/>
    </row>
    <row r="25" spans="1:13" ht="15" customHeight="1">
      <c r="A25" s="1293" t="s">
        <v>516</v>
      </c>
      <c r="B25" s="1278"/>
      <c r="C25" s="1285">
        <v>0</v>
      </c>
      <c r="D25" s="1278"/>
      <c r="E25" s="1286"/>
      <c r="F25" s="1287">
        <f>SUM(C25:E25)</f>
        <v>0</v>
      </c>
    </row>
    <row r="26" spans="1:13" ht="15" customHeight="1">
      <c r="A26" s="1293" t="s">
        <v>517</v>
      </c>
      <c r="B26" s="1278"/>
      <c r="C26" s="1285">
        <v>0</v>
      </c>
      <c r="D26" s="1278"/>
      <c r="E26" s="1286"/>
      <c r="F26" s="1287">
        <f>SUM(C26:E26)</f>
        <v>0</v>
      </c>
    </row>
    <row r="27" spans="1:13" ht="15" customHeight="1">
      <c r="A27" s="1293" t="s">
        <v>518</v>
      </c>
      <c r="B27" s="1278"/>
      <c r="C27" s="1285">
        <v>0</v>
      </c>
      <c r="D27" s="1278"/>
      <c r="E27" s="1288"/>
      <c r="F27" s="1287">
        <f>SUM(C27:E27)</f>
        <v>0</v>
      </c>
    </row>
    <row r="28" spans="1:13" ht="15.5">
      <c r="A28" s="1269" t="s">
        <v>890</v>
      </c>
      <c r="B28" s="1281"/>
      <c r="C28" s="1886">
        <f>ROUND(SUM(C25:C27),2)</f>
        <v>0</v>
      </c>
      <c r="D28" s="1281"/>
      <c r="E28" s="1289"/>
      <c r="F28" s="1886">
        <f>ROUND(SUM(F25:F27),2)</f>
        <v>0</v>
      </c>
    </row>
    <row r="29" spans="1:13" ht="15" customHeight="1">
      <c r="A29" s="1278"/>
      <c r="B29" s="1278"/>
      <c r="C29" s="1285"/>
      <c r="D29" s="1278"/>
      <c r="E29" s="1286"/>
      <c r="F29" s="1287"/>
    </row>
    <row r="30" spans="1:13" ht="15" customHeight="1">
      <c r="A30" s="1281" t="s">
        <v>519</v>
      </c>
      <c r="B30" s="1281"/>
      <c r="C30" s="2224">
        <f>ROUND(+C22+C28,2)</f>
        <v>479006526.95999998</v>
      </c>
      <c r="D30" s="1281"/>
      <c r="E30" s="1294"/>
      <c r="F30" s="1290">
        <f>ROUND(+F22+F28,2)</f>
        <v>479006526.95999998</v>
      </c>
    </row>
    <row r="31" spans="1:13" ht="15" customHeight="1">
      <c r="A31" s="1278"/>
      <c r="B31" s="1278"/>
      <c r="C31" s="1287"/>
      <c r="D31" s="1278"/>
      <c r="E31" s="1286"/>
      <c r="F31" s="1887"/>
      <c r="G31" s="1267"/>
      <c r="H31" s="1267"/>
      <c r="I31" s="1295"/>
      <c r="J31" s="1295"/>
      <c r="K31" s="1295"/>
      <c r="L31" s="1295"/>
      <c r="M31" s="1295"/>
    </row>
    <row r="32" spans="1:13" ht="15" customHeight="1">
      <c r="A32" s="1281" t="s">
        <v>45</v>
      </c>
      <c r="B32" s="1278"/>
      <c r="C32" s="1287"/>
      <c r="D32" s="1278"/>
      <c r="E32" s="1286"/>
      <c r="F32" s="1287"/>
      <c r="G32" s="1267"/>
      <c r="H32" s="1267"/>
      <c r="I32" s="1295"/>
      <c r="J32" s="1295"/>
      <c r="K32" s="1295"/>
      <c r="L32" s="1295"/>
      <c r="M32" s="1295"/>
    </row>
    <row r="33" spans="1:13" ht="15" customHeight="1">
      <c r="A33" s="1281" t="s">
        <v>801</v>
      </c>
      <c r="B33" s="1278"/>
      <c r="C33" s="1287"/>
      <c r="D33" s="1278"/>
      <c r="E33" s="1286"/>
      <c r="F33" s="1287"/>
      <c r="G33" s="1267"/>
      <c r="H33" s="1267"/>
      <c r="I33" s="1295"/>
      <c r="J33" s="1295"/>
      <c r="K33" s="1295"/>
      <c r="L33" s="1295"/>
      <c r="M33" s="1295"/>
    </row>
    <row r="34" spans="1:13" ht="15" customHeight="1">
      <c r="A34" s="1278" t="s">
        <v>520</v>
      </c>
      <c r="B34" s="1278"/>
      <c r="C34" s="1253">
        <v>0</v>
      </c>
      <c r="D34" s="1278"/>
      <c r="E34" s="1286"/>
      <c r="F34" s="1287">
        <f>SUM(C34:E34)</f>
        <v>0</v>
      </c>
      <c r="G34" s="1267"/>
      <c r="H34" s="1267"/>
      <c r="I34" s="1295"/>
      <c r="J34" s="1295"/>
      <c r="K34" s="1295"/>
      <c r="L34" s="1295"/>
      <c r="M34" s="1295"/>
    </row>
    <row r="35" spans="1:13" ht="15" customHeight="1">
      <c r="A35" s="1293" t="s">
        <v>521</v>
      </c>
      <c r="B35" s="1278"/>
      <c r="C35" s="1253">
        <v>4219028</v>
      </c>
      <c r="D35" s="1278"/>
      <c r="E35" s="1286"/>
      <c r="F35" s="1287">
        <f>SUM(C35:E35)</f>
        <v>4219028</v>
      </c>
      <c r="G35" s="1267"/>
      <c r="H35" s="1267"/>
      <c r="I35" s="1295"/>
      <c r="J35" s="1295"/>
      <c r="K35" s="1295"/>
      <c r="L35" s="1295"/>
      <c r="M35" s="1295"/>
    </row>
    <row r="36" spans="1:13" ht="15" customHeight="1">
      <c r="A36" s="1281" t="s">
        <v>522</v>
      </c>
      <c r="B36" s="1278"/>
      <c r="C36" s="1287"/>
      <c r="D36" s="1278"/>
      <c r="E36" s="1286"/>
      <c r="F36" s="1287"/>
      <c r="G36" s="1267"/>
      <c r="H36" s="1267"/>
      <c r="I36" s="1295"/>
      <c r="J36" s="1295"/>
      <c r="K36" s="1295"/>
      <c r="L36" s="1295"/>
      <c r="M36" s="1295"/>
    </row>
    <row r="37" spans="1:13" ht="15" customHeight="1">
      <c r="A37" s="1245" t="s">
        <v>523</v>
      </c>
      <c r="B37" s="1278"/>
      <c r="C37" s="1296">
        <v>0</v>
      </c>
      <c r="D37" s="1278"/>
      <c r="E37" s="1286"/>
      <c r="F37" s="1287">
        <f>SUM(C37:E37)</f>
        <v>0</v>
      </c>
      <c r="G37" s="1267"/>
      <c r="H37" s="1267"/>
      <c r="I37" s="1295"/>
      <c r="J37" s="1295"/>
      <c r="K37" s="1295"/>
      <c r="L37" s="1295"/>
      <c r="M37" s="1295"/>
    </row>
    <row r="38" spans="1:13" s="1277" customFormat="1" ht="15.5">
      <c r="A38" s="1281" t="s">
        <v>524</v>
      </c>
      <c r="B38" s="1281"/>
      <c r="C38" s="1886">
        <f>ROUND(SUM(C34:C37),2)</f>
        <v>4219028</v>
      </c>
      <c r="D38" s="1281"/>
      <c r="E38" s="1289"/>
      <c r="F38" s="1886">
        <f>ROUND(SUM(F34:F37),2)</f>
        <v>4219028</v>
      </c>
      <c r="G38" s="1291"/>
      <c r="H38" s="1291"/>
      <c r="I38" s="1297"/>
      <c r="J38" s="1297"/>
      <c r="K38" s="1297"/>
      <c r="L38" s="1297"/>
      <c r="M38" s="1297"/>
    </row>
    <row r="39" spans="1:13" ht="15" customHeight="1">
      <c r="A39" s="1278"/>
      <c r="B39" s="1278"/>
      <c r="C39" s="1285"/>
      <c r="D39" s="1278"/>
      <c r="E39" s="1286"/>
      <c r="F39" s="1287"/>
      <c r="G39" s="1267"/>
      <c r="H39" s="1267"/>
      <c r="I39" s="1295"/>
      <c r="J39" s="1295"/>
      <c r="K39" s="1295"/>
      <c r="L39" s="1295"/>
      <c r="M39" s="1295"/>
    </row>
    <row r="40" spans="1:13" ht="15" customHeight="1">
      <c r="A40" s="1281" t="s">
        <v>853</v>
      </c>
      <c r="B40" s="1278"/>
      <c r="C40" s="1285"/>
      <c r="D40" s="1278"/>
      <c r="E40" s="1286"/>
      <c r="F40" s="1287"/>
      <c r="G40" s="1267"/>
      <c r="H40" s="1267"/>
      <c r="I40" s="1295"/>
      <c r="J40" s="1295"/>
      <c r="K40" s="1295"/>
      <c r="L40" s="1295"/>
      <c r="M40" s="1295"/>
    </row>
    <row r="41" spans="1:13" ht="15" customHeight="1">
      <c r="A41" s="1278" t="s">
        <v>520</v>
      </c>
      <c r="B41" s="1278"/>
      <c r="C41" s="1246">
        <v>0</v>
      </c>
      <c r="D41" s="1278"/>
      <c r="E41" s="1286"/>
      <c r="F41" s="1287">
        <f>SUM(C41:E41)</f>
        <v>0</v>
      </c>
      <c r="G41" s="1267"/>
      <c r="H41" s="1267"/>
      <c r="I41" s="1295"/>
      <c r="J41" s="1295"/>
      <c r="K41" s="1295"/>
      <c r="L41" s="1295"/>
      <c r="M41" s="1295"/>
    </row>
    <row r="42" spans="1:13" ht="15" customHeight="1">
      <c r="A42" s="1278" t="s">
        <v>525</v>
      </c>
      <c r="B42" s="1278"/>
      <c r="C42" s="1285">
        <v>0</v>
      </c>
      <c r="D42" s="1278"/>
      <c r="E42" s="1286"/>
      <c r="F42" s="1287">
        <f>SUM(C42:E42)</f>
        <v>0</v>
      </c>
      <c r="G42" s="1267"/>
      <c r="H42" s="1267"/>
      <c r="I42" s="1295"/>
      <c r="J42" s="1295"/>
      <c r="K42" s="1295"/>
      <c r="L42" s="1295"/>
      <c r="M42" s="1295"/>
    </row>
    <row r="43" spans="1:13" ht="15" customHeight="1">
      <c r="A43" s="1281" t="s">
        <v>854</v>
      </c>
      <c r="B43" s="1278"/>
      <c r="C43" s="1285"/>
      <c r="D43" s="1278"/>
      <c r="E43" s="1286"/>
      <c r="F43" s="1287"/>
      <c r="G43" s="1267"/>
      <c r="H43" s="1267"/>
      <c r="I43" s="1295"/>
      <c r="J43" s="1295"/>
      <c r="K43" s="1295"/>
      <c r="L43" s="1295"/>
      <c r="M43" s="1295"/>
    </row>
    <row r="44" spans="1:13" ht="15" customHeight="1">
      <c r="A44" s="1293" t="s">
        <v>523</v>
      </c>
      <c r="B44" s="1278"/>
      <c r="C44" s="1253">
        <v>-414748391.69</v>
      </c>
      <c r="D44" s="1278"/>
      <c r="E44" s="1286"/>
      <c r="F44" s="1287">
        <f>SUM(C44:E44)</f>
        <v>-414748391.69</v>
      </c>
      <c r="G44" s="1267"/>
      <c r="H44" s="1267"/>
      <c r="I44" s="1295"/>
      <c r="J44" s="1295"/>
      <c r="K44" s="1295"/>
      <c r="L44" s="1295"/>
      <c r="M44" s="1295"/>
    </row>
    <row r="45" spans="1:13" ht="15" customHeight="1">
      <c r="A45" s="1278" t="s">
        <v>1205</v>
      </c>
      <c r="B45" s="1278"/>
      <c r="C45" s="1253">
        <v>0</v>
      </c>
      <c r="D45" s="1278"/>
      <c r="E45" s="1286"/>
      <c r="F45" s="1287">
        <f>SUM(C45:E45)</f>
        <v>0</v>
      </c>
      <c r="G45" s="1267"/>
      <c r="H45" s="1267"/>
      <c r="I45" s="1295"/>
      <c r="J45" s="1295"/>
      <c r="K45" s="1295"/>
      <c r="L45" s="1295"/>
      <c r="M45" s="1295"/>
    </row>
    <row r="46" spans="1:13" ht="15" customHeight="1">
      <c r="A46" s="1278" t="s">
        <v>1206</v>
      </c>
      <c r="B46" s="1278"/>
      <c r="C46" s="1953">
        <v>0</v>
      </c>
      <c r="D46" s="1278"/>
      <c r="E46" s="1286"/>
      <c r="F46" s="1287">
        <f>SUM(C46:E46)</f>
        <v>0</v>
      </c>
      <c r="G46" s="1267"/>
      <c r="H46" s="1267"/>
      <c r="I46" s="1295"/>
      <c r="J46" s="1295"/>
      <c r="K46" s="1295"/>
      <c r="L46" s="1295"/>
      <c r="M46" s="1295"/>
    </row>
    <row r="47" spans="1:13" ht="15.5">
      <c r="A47" s="1281" t="s">
        <v>526</v>
      </c>
      <c r="B47" s="1281"/>
      <c r="C47" s="1886">
        <f>ROUND(SUM(C41:C46),2)</f>
        <v>-414748391.69</v>
      </c>
      <c r="D47" s="1281"/>
      <c r="E47" s="1289"/>
      <c r="F47" s="1886">
        <f>ROUND(SUM(F41:F46),2)</f>
        <v>-414748391.69</v>
      </c>
      <c r="G47" s="1267"/>
      <c r="H47" s="1267"/>
      <c r="I47" s="1295"/>
      <c r="J47" s="1295"/>
      <c r="K47" s="1295"/>
      <c r="L47" s="1295"/>
      <c r="M47" s="1295"/>
    </row>
    <row r="48" spans="1:13" ht="15" customHeight="1">
      <c r="A48" s="1278"/>
      <c r="B48" s="1278"/>
      <c r="C48" s="1285"/>
      <c r="D48" s="1278"/>
      <c r="E48" s="1286"/>
      <c r="F48" s="1287"/>
      <c r="G48" s="1267"/>
      <c r="H48" s="1267"/>
      <c r="I48" s="1295"/>
      <c r="J48" s="1295"/>
      <c r="K48" s="1295"/>
      <c r="L48" s="1295"/>
      <c r="M48" s="1295"/>
    </row>
    <row r="49" spans="1:13" ht="15" customHeight="1">
      <c r="A49" s="1281" t="s">
        <v>527</v>
      </c>
      <c r="B49" s="1278"/>
      <c r="C49" s="1285"/>
      <c r="D49" s="1278"/>
      <c r="E49" s="1286"/>
      <c r="F49" s="1287"/>
      <c r="G49" s="1267"/>
      <c r="H49" s="1267"/>
      <c r="I49" s="1295"/>
      <c r="J49" s="1295"/>
      <c r="K49" s="1295"/>
      <c r="L49" s="1295"/>
      <c r="M49" s="1295"/>
    </row>
    <row r="50" spans="1:13" ht="15" customHeight="1">
      <c r="A50" s="1281" t="s">
        <v>528</v>
      </c>
      <c r="B50" s="1278"/>
      <c r="C50" s="1952">
        <f>ROUND(+C30+C38+C47,2)</f>
        <v>68477163.269999996</v>
      </c>
      <c r="D50" s="1278"/>
      <c r="E50" s="1294"/>
      <c r="F50" s="1952">
        <f>ROUND(+F30+F38+F47,2)</f>
        <v>68477163.269999996</v>
      </c>
      <c r="G50" s="1267"/>
      <c r="H50" s="1267"/>
      <c r="I50" s="1295"/>
      <c r="J50" s="1295"/>
      <c r="K50" s="1295"/>
      <c r="L50" s="1295"/>
      <c r="M50" s="1295"/>
    </row>
    <row r="51" spans="1:13" ht="15" customHeight="1">
      <c r="A51" s="1278"/>
      <c r="B51" s="1278"/>
      <c r="C51" s="1280"/>
      <c r="D51" s="1278"/>
      <c r="E51" s="1298"/>
      <c r="F51" s="1287"/>
      <c r="G51" s="1267"/>
      <c r="H51" s="1267"/>
      <c r="I51" s="1295"/>
      <c r="J51" s="1295"/>
      <c r="K51" s="1295"/>
      <c r="L51" s="1295"/>
      <c r="M51" s="1295"/>
    </row>
    <row r="52" spans="1:13" s="1277" customFormat="1" ht="21" customHeight="1" thickBot="1">
      <c r="A52" s="1281" t="s">
        <v>529</v>
      </c>
      <c r="B52" s="1281"/>
      <c r="C52" s="2223">
        <f>ROUND(C12+C50,2)</f>
        <v>362354032.88</v>
      </c>
      <c r="D52" s="1281"/>
      <c r="E52" s="1299"/>
      <c r="F52" s="1351">
        <f>ROUND(F12+F50,2)</f>
        <v>362354032.88</v>
      </c>
      <c r="G52" s="1264"/>
      <c r="H52" s="1264"/>
    </row>
    <row r="53" spans="1:13" ht="15" customHeight="1" thickTop="1">
      <c r="A53" s="1278" t="s">
        <v>14</v>
      </c>
      <c r="B53" s="1278"/>
      <c r="C53" s="1270"/>
      <c r="D53" s="1278"/>
      <c r="E53" s="1270"/>
      <c r="F53" s="1300"/>
    </row>
    <row r="54" spans="1:13" ht="15" customHeight="1">
      <c r="A54" s="1261" t="s">
        <v>530</v>
      </c>
    </row>
    <row r="55" spans="1:13" ht="15" customHeight="1">
      <c r="A55" s="1301"/>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44"/>
  <sheetViews>
    <sheetView showGridLines="0" zoomScale="90" zoomScaleNormal="90" workbookViewId="0"/>
  </sheetViews>
  <sheetFormatPr defaultColWidth="8.765625" defaultRowHeight="15.5"/>
  <cols>
    <col min="1" max="1" width="3.53515625" style="1486" customWidth="1"/>
    <col min="2" max="2" width="8.4609375" style="1487" customWidth="1"/>
    <col min="3" max="3" width="12.07421875" style="1487" customWidth="1"/>
    <col min="4" max="4" width="15" style="1488" customWidth="1"/>
    <col min="5" max="5" width="15.07421875" style="1485" customWidth="1"/>
    <col min="6" max="6" width="10.4609375" style="1486" customWidth="1"/>
    <col min="7" max="7" width="10.07421875" style="1486" customWidth="1"/>
    <col min="8" max="8" width="9.07421875" style="1547" customWidth="1"/>
    <col min="9" max="9" width="5.53515625" style="1484" customWidth="1"/>
    <col min="10" max="10" width="9.07421875" style="1484" customWidth="1"/>
    <col min="11" max="11" width="8.07421875" style="1485" customWidth="1"/>
    <col min="12" max="12" width="16" style="1485" customWidth="1"/>
    <col min="13" max="13" width="12.07421875" style="1485" customWidth="1"/>
    <col min="14" max="14" width="7.84375" style="1485" customWidth="1"/>
    <col min="15" max="15" width="18.765625" style="1549" customWidth="1"/>
    <col min="16" max="16" width="4.765625" style="1549" customWidth="1"/>
    <col min="17" max="17" width="8" style="1549" customWidth="1"/>
    <col min="18" max="18" width="3.765625" style="1549" customWidth="1"/>
    <col min="19" max="19" width="13.07421875" style="1549" customWidth="1"/>
    <col min="20" max="21" width="12.07421875" style="1549" customWidth="1"/>
    <col min="22" max="16384" width="8.765625" style="1549"/>
  </cols>
  <sheetData>
    <row r="1" spans="1:20">
      <c r="A1" s="640" t="s">
        <v>885</v>
      </c>
    </row>
    <row r="2" spans="1:20">
      <c r="A2" s="547" t="s">
        <v>707</v>
      </c>
      <c r="B2" s="548"/>
      <c r="C2" s="549"/>
      <c r="D2" s="550"/>
      <c r="E2" s="1547"/>
      <c r="F2" s="1547"/>
      <c r="G2" s="1547"/>
      <c r="I2" s="551"/>
      <c r="J2" s="551"/>
      <c r="K2" s="1547"/>
      <c r="L2" s="1547"/>
      <c r="M2" s="1547"/>
      <c r="N2" s="552"/>
      <c r="O2" s="878" t="s">
        <v>881</v>
      </c>
      <c r="Q2" s="554"/>
      <c r="R2" s="554"/>
      <c r="S2" s="555"/>
      <c r="T2" s="556"/>
    </row>
    <row r="3" spans="1:20" ht="12.75" customHeight="1">
      <c r="A3" s="548"/>
      <c r="B3" s="548"/>
      <c r="C3" s="549"/>
      <c r="D3" s="550"/>
      <c r="E3" s="1547"/>
      <c r="F3" s="1547"/>
      <c r="G3" s="1547"/>
      <c r="I3" s="1487"/>
      <c r="J3" s="1487"/>
      <c r="K3" s="1488"/>
      <c r="M3" s="1486"/>
      <c r="N3" s="1486"/>
      <c r="O3" s="879" t="s">
        <v>1416</v>
      </c>
      <c r="T3" s="556"/>
    </row>
    <row r="4" spans="1:20" ht="9" customHeight="1">
      <c r="B4" s="1616"/>
      <c r="C4" s="1616"/>
      <c r="D4" s="1611"/>
      <c r="E4" s="1612"/>
      <c r="F4" s="1613"/>
      <c r="G4" s="1613"/>
      <c r="H4" s="564"/>
      <c r="I4" s="662"/>
      <c r="J4" s="662"/>
      <c r="K4" s="1612"/>
      <c r="L4" s="1612"/>
      <c r="M4" s="1612"/>
      <c r="N4" s="1612"/>
      <c r="O4" s="1618"/>
      <c r="P4" s="1618"/>
      <c r="T4" s="556"/>
    </row>
    <row r="5" spans="1:20" ht="13.5" customHeight="1">
      <c r="T5" s="556"/>
    </row>
    <row r="6" spans="1:20" ht="13.5" customHeight="1">
      <c r="A6" s="557" t="s">
        <v>708</v>
      </c>
      <c r="B6" s="1548" t="s">
        <v>709</v>
      </c>
      <c r="C6" s="1548"/>
      <c r="D6" s="1548"/>
      <c r="E6" s="564"/>
      <c r="F6" s="564"/>
      <c r="G6" s="564"/>
      <c r="H6" s="559"/>
      <c r="I6" s="1624"/>
      <c r="J6" s="1640" t="s">
        <v>1405</v>
      </c>
      <c r="K6" s="551"/>
      <c r="L6" s="550"/>
      <c r="M6" s="1547"/>
      <c r="N6" s="1615"/>
      <c r="O6" s="1486"/>
    </row>
    <row r="7" spans="1:20" ht="13.5" customHeight="1">
      <c r="A7" s="557"/>
      <c r="B7" s="1548" t="s">
        <v>710</v>
      </c>
      <c r="C7" s="1548"/>
      <c r="D7" s="1548"/>
      <c r="E7" s="564"/>
      <c r="F7" s="564"/>
      <c r="G7" s="564"/>
      <c r="H7" s="1486"/>
      <c r="J7" s="1548" t="s">
        <v>1533</v>
      </c>
      <c r="K7" s="551"/>
      <c r="L7" s="550"/>
      <c r="M7" s="1547"/>
      <c r="N7" s="1615"/>
      <c r="O7" s="1486"/>
    </row>
    <row r="8" spans="1:20" ht="13.4" customHeight="1">
      <c r="A8" s="557"/>
      <c r="B8" s="1548" t="s">
        <v>711</v>
      </c>
      <c r="C8" s="1548"/>
      <c r="D8" s="1548"/>
      <c r="E8" s="564"/>
      <c r="F8" s="564"/>
      <c r="G8" s="564"/>
      <c r="H8" s="1486"/>
      <c r="J8" s="1548" t="s">
        <v>1534</v>
      </c>
      <c r="K8" s="551"/>
      <c r="L8" s="1488"/>
      <c r="N8" s="1615"/>
      <c r="O8" s="1485"/>
    </row>
    <row r="9" spans="1:20" ht="12.75" customHeight="1">
      <c r="A9" s="557"/>
      <c r="B9" s="1548" t="s">
        <v>712</v>
      </c>
      <c r="C9" s="1548"/>
      <c r="D9" s="1548"/>
      <c r="E9" s="564"/>
      <c r="F9" s="564"/>
      <c r="G9" s="564"/>
      <c r="H9" s="1623"/>
      <c r="J9" s="2105" t="s">
        <v>1535</v>
      </c>
      <c r="K9" s="1484"/>
      <c r="O9" s="1485"/>
    </row>
    <row r="10" spans="1:20" ht="12.75" customHeight="1">
      <c r="B10" s="1616"/>
      <c r="C10" s="1616"/>
      <c r="D10" s="1611"/>
      <c r="E10" s="1612"/>
      <c r="F10" s="1620"/>
      <c r="G10" s="1613"/>
      <c r="H10" s="564"/>
      <c r="J10" s="2105"/>
      <c r="K10" s="1619"/>
      <c r="L10" s="1614"/>
      <c r="M10" s="564"/>
      <c r="N10" s="1615"/>
      <c r="O10" s="1485"/>
    </row>
    <row r="11" spans="1:20" ht="12.75" customHeight="1">
      <c r="A11" s="1547"/>
      <c r="B11" s="1548"/>
      <c r="C11" s="1619" t="s">
        <v>758</v>
      </c>
      <c r="D11" s="1614"/>
      <c r="E11" s="564"/>
      <c r="F11" s="1614">
        <v>186.9</v>
      </c>
      <c r="G11" s="564" t="s">
        <v>713</v>
      </c>
      <c r="H11" s="1625"/>
      <c r="J11" s="2105" t="s">
        <v>1396</v>
      </c>
      <c r="K11" s="1484"/>
      <c r="O11" s="1485"/>
    </row>
    <row r="12" spans="1:20" ht="12.75" customHeight="1">
      <c r="A12" s="1547"/>
      <c r="B12" s="1619"/>
      <c r="C12" s="1619" t="s">
        <v>910</v>
      </c>
      <c r="D12" s="1621"/>
      <c r="E12" s="564"/>
      <c r="F12" s="3857">
        <v>15.3</v>
      </c>
      <c r="G12" s="564"/>
      <c r="H12" s="564"/>
      <c r="K12" s="1484"/>
      <c r="O12" s="1485"/>
    </row>
    <row r="13" spans="1:20" ht="12.75" customHeight="1">
      <c r="A13" s="1547"/>
      <c r="B13" s="1619"/>
      <c r="C13" s="1619" t="s">
        <v>714</v>
      </c>
      <c r="D13" s="1621"/>
      <c r="E13" s="564"/>
      <c r="F13" s="3862">
        <v>404.9</v>
      </c>
      <c r="G13" s="564"/>
      <c r="H13" s="1618"/>
      <c r="K13" s="3736" t="s">
        <v>1536</v>
      </c>
      <c r="N13" s="3571">
        <v>1</v>
      </c>
      <c r="O13" s="1547" t="s">
        <v>713</v>
      </c>
      <c r="T13" s="1547"/>
    </row>
    <row r="14" spans="1:20" ht="12.75" customHeight="1">
      <c r="A14" s="1547"/>
      <c r="B14" s="1619"/>
      <c r="C14" s="1619" t="s">
        <v>715</v>
      </c>
      <c r="D14" s="1621"/>
      <c r="E14" s="564"/>
      <c r="F14" s="3862">
        <v>12.9</v>
      </c>
      <c r="G14" s="1613"/>
      <c r="H14" s="1486"/>
      <c r="I14" s="1487"/>
      <c r="K14" s="3736" t="s">
        <v>1397</v>
      </c>
      <c r="N14" s="1617">
        <v>5.0999999999999996</v>
      </c>
      <c r="O14" s="1485"/>
      <c r="T14" s="558"/>
    </row>
    <row r="15" spans="1:20" ht="12.75" customHeight="1">
      <c r="A15" s="1547"/>
      <c r="B15" s="1619"/>
      <c r="C15" s="1619" t="s">
        <v>911</v>
      </c>
      <c r="D15" s="1621"/>
      <c r="E15" s="564"/>
      <c r="F15" s="3862">
        <v>356.3</v>
      </c>
      <c r="G15" s="564"/>
      <c r="H15" s="1623"/>
      <c r="K15" s="3736"/>
      <c r="N15" s="1617"/>
      <c r="O15" s="1485"/>
      <c r="T15" s="558"/>
    </row>
    <row r="16" spans="1:20" ht="12.75" customHeight="1">
      <c r="A16" s="1547"/>
      <c r="B16" s="1619"/>
      <c r="C16" s="1619" t="s">
        <v>759</v>
      </c>
      <c r="D16" s="1621"/>
      <c r="E16" s="564"/>
      <c r="F16" s="3857">
        <v>536.6</v>
      </c>
      <c r="G16" s="564"/>
      <c r="K16" s="3736"/>
      <c r="N16" s="1617"/>
      <c r="O16" s="3737"/>
      <c r="R16" s="1547"/>
    </row>
    <row r="17" spans="1:16" ht="12.75" customHeight="1">
      <c r="A17" s="1547"/>
      <c r="B17" s="1619"/>
      <c r="C17" s="1619" t="s">
        <v>716</v>
      </c>
      <c r="D17" s="1622"/>
      <c r="E17" s="564"/>
      <c r="F17" s="3857">
        <v>627.70000000000005</v>
      </c>
      <c r="G17" s="564"/>
      <c r="J17" s="1640" t="s">
        <v>1404</v>
      </c>
      <c r="K17" s="1640"/>
      <c r="L17" s="564"/>
      <c r="M17" s="564"/>
      <c r="N17" s="564"/>
      <c r="O17" s="1485"/>
    </row>
    <row r="18" spans="1:16" ht="12.75" customHeight="1">
      <c r="A18" s="1547"/>
      <c r="B18" s="1619"/>
      <c r="C18" s="1619" t="s">
        <v>1166</v>
      </c>
      <c r="D18" s="1622"/>
      <c r="E18" s="564"/>
      <c r="F18" s="3862">
        <v>36.700000000000003</v>
      </c>
      <c r="G18" s="564"/>
      <c r="H18" s="564"/>
      <c r="J18" s="662"/>
      <c r="K18" s="662"/>
      <c r="L18" s="1612"/>
      <c r="M18" s="1612"/>
      <c r="N18" s="1612"/>
      <c r="O18" s="1486"/>
    </row>
    <row r="19" spans="1:16" ht="12.75" customHeight="1">
      <c r="A19" s="1613"/>
      <c r="B19" s="1616"/>
      <c r="C19" s="1616"/>
      <c r="D19" s="1611"/>
      <c r="E19" s="1612"/>
      <c r="F19" s="1613"/>
      <c r="G19" s="1613"/>
      <c r="J19" s="1619"/>
      <c r="K19" s="1619" t="s">
        <v>719</v>
      </c>
      <c r="L19" s="1614"/>
      <c r="M19" s="564"/>
      <c r="N19" s="1641">
        <v>3262.7</v>
      </c>
      <c r="O19" s="564" t="s">
        <v>713</v>
      </c>
    </row>
    <row r="20" spans="1:16" ht="13.4" customHeight="1">
      <c r="A20" s="1625" t="s">
        <v>717</v>
      </c>
      <c r="B20" s="1548" t="s">
        <v>892</v>
      </c>
      <c r="C20" s="1548"/>
      <c r="D20" s="1548"/>
      <c r="E20" s="564"/>
      <c r="F20" s="564"/>
      <c r="G20" s="564"/>
      <c r="H20" s="1625"/>
      <c r="J20" s="1619"/>
      <c r="K20" s="1619" t="s">
        <v>720</v>
      </c>
      <c r="L20" s="1614"/>
      <c r="M20" s="564"/>
      <c r="N20" s="1615">
        <v>296.7</v>
      </c>
      <c r="O20" s="1612"/>
    </row>
    <row r="21" spans="1:16" ht="12.75" customHeight="1">
      <c r="A21" s="1625"/>
      <c r="B21" s="1548" t="s">
        <v>1289</v>
      </c>
      <c r="C21" s="1548"/>
      <c r="D21" s="1548"/>
      <c r="E21" s="564"/>
      <c r="F21" s="564"/>
      <c r="G21" s="564"/>
      <c r="J21" s="1619"/>
      <c r="K21" s="1619" t="s">
        <v>721</v>
      </c>
      <c r="L21" s="1614"/>
      <c r="M21" s="564"/>
      <c r="N21" s="1615">
        <v>573.29999999999995</v>
      </c>
      <c r="O21" s="564"/>
    </row>
    <row r="22" spans="1:16" ht="14.15" customHeight="1">
      <c r="A22" s="1625"/>
      <c r="B22" s="1548"/>
      <c r="C22" s="1548"/>
      <c r="D22" s="1548"/>
      <c r="E22" s="564"/>
      <c r="F22" s="564"/>
      <c r="G22" s="564"/>
      <c r="J22" s="662"/>
      <c r="K22" s="1619" t="s">
        <v>722</v>
      </c>
      <c r="L22" s="1614"/>
      <c r="M22" s="564"/>
      <c r="N22" s="1615">
        <v>86.8</v>
      </c>
    </row>
    <row r="23" spans="1:16" ht="12.75" customHeight="1">
      <c r="A23" s="564"/>
      <c r="B23" s="1624" t="s">
        <v>1406</v>
      </c>
      <c r="C23" s="1624"/>
      <c r="D23" s="1548"/>
      <c r="E23" s="564"/>
      <c r="F23" s="564"/>
      <c r="G23" s="564"/>
      <c r="K23" s="551" t="s">
        <v>1224</v>
      </c>
      <c r="L23" s="2159"/>
      <c r="M23" s="1547"/>
      <c r="N23" s="1617">
        <v>100.5</v>
      </c>
    </row>
    <row r="24" spans="1:16" ht="12.75" customHeight="1">
      <c r="A24" s="1613"/>
      <c r="B24" s="1616"/>
      <c r="C24" s="1616"/>
      <c r="D24" s="1611"/>
      <c r="E24" s="1612"/>
      <c r="F24" s="1613"/>
      <c r="G24" s="564"/>
      <c r="J24" s="662"/>
      <c r="K24" s="1619"/>
      <c r="L24" s="1612"/>
      <c r="M24" s="1612"/>
      <c r="N24" s="1612"/>
    </row>
    <row r="25" spans="1:16" ht="13.4" customHeight="1">
      <c r="A25" s="1613"/>
      <c r="B25" s="1616"/>
      <c r="C25" s="1619" t="s">
        <v>1138</v>
      </c>
      <c r="D25" s="1611"/>
      <c r="E25" s="1612"/>
      <c r="F25" s="1641">
        <v>485.7</v>
      </c>
      <c r="G25" s="564" t="s">
        <v>713</v>
      </c>
      <c r="J25" s="564" t="s">
        <v>908</v>
      </c>
      <c r="K25" s="1619"/>
      <c r="L25" s="564"/>
      <c r="M25" s="564"/>
      <c r="N25" s="564"/>
    </row>
    <row r="26" spans="1:16" ht="12.75" customHeight="1">
      <c r="A26" s="1613"/>
      <c r="B26" s="1616"/>
      <c r="C26" s="1619" t="s">
        <v>718</v>
      </c>
      <c r="D26" s="1614"/>
      <c r="E26" s="564"/>
      <c r="F26" s="1615">
        <v>162.6</v>
      </c>
      <c r="G26" s="1618"/>
      <c r="H26" s="1486"/>
      <c r="J26" s="564" t="s">
        <v>1291</v>
      </c>
      <c r="K26" s="1619"/>
      <c r="L26" s="564"/>
      <c r="M26" s="564"/>
      <c r="N26" s="564"/>
      <c r="O26" s="1612"/>
      <c r="P26" s="564"/>
    </row>
    <row r="27" spans="1:16" ht="12.75" customHeight="1">
      <c r="A27" s="1613"/>
      <c r="B27" s="1616"/>
      <c r="C27" s="1619" t="s">
        <v>1119</v>
      </c>
      <c r="D27" s="1614"/>
      <c r="E27" s="564"/>
      <c r="F27" s="1615">
        <v>2.5</v>
      </c>
      <c r="G27" s="564"/>
      <c r="J27" s="564" t="s">
        <v>1537</v>
      </c>
      <c r="K27" s="1619"/>
      <c r="L27" s="564"/>
      <c r="M27" s="564"/>
      <c r="N27" s="564"/>
      <c r="O27" s="564"/>
    </row>
    <row r="28" spans="1:16" ht="12.75" customHeight="1">
      <c r="C28" s="3736" t="s">
        <v>1286</v>
      </c>
      <c r="D28" s="3738"/>
      <c r="E28" s="1547"/>
      <c r="F28" s="1617">
        <v>38.4</v>
      </c>
      <c r="H28" s="1625"/>
      <c r="J28" s="1487"/>
      <c r="K28" s="1487"/>
      <c r="L28" s="1488"/>
      <c r="N28" s="1486"/>
      <c r="O28" s="1486"/>
    </row>
    <row r="29" spans="1:16" ht="13.4" customHeight="1">
      <c r="C29" s="3736" t="s">
        <v>1393</v>
      </c>
      <c r="D29" s="3738"/>
      <c r="E29" s="1547"/>
      <c r="F29" s="1617">
        <v>48.9</v>
      </c>
      <c r="J29" s="1640" t="s">
        <v>1541</v>
      </c>
      <c r="K29" s="2106"/>
      <c r="O29" s="1485"/>
    </row>
    <row r="30" spans="1:16" ht="12.75" customHeight="1">
      <c r="C30" s="3736" t="s">
        <v>1391</v>
      </c>
      <c r="D30" s="3738"/>
      <c r="E30" s="1547"/>
      <c r="F30" s="1617">
        <v>3.5</v>
      </c>
      <c r="J30" s="1548" t="s">
        <v>1538</v>
      </c>
      <c r="K30" s="2106"/>
      <c r="O30" s="1485"/>
    </row>
    <row r="31" spans="1:16" ht="12.75" customHeight="1">
      <c r="C31" s="3736" t="s">
        <v>1390</v>
      </c>
      <c r="D31" s="3738"/>
      <c r="E31" s="1547"/>
      <c r="F31" s="1617">
        <v>12.6</v>
      </c>
    </row>
    <row r="32" spans="1:16" ht="12.75" customHeight="1">
      <c r="C32" s="3736" t="s">
        <v>1388</v>
      </c>
      <c r="D32" s="3738"/>
      <c r="E32" s="1547"/>
      <c r="F32" s="1617">
        <v>2.1</v>
      </c>
      <c r="I32" s="557" t="s">
        <v>1542</v>
      </c>
      <c r="J32" s="551" t="s">
        <v>1544</v>
      </c>
      <c r="K32" s="3736"/>
      <c r="N32" s="1617"/>
      <c r="O32" s="1485"/>
    </row>
    <row r="33" spans="1:20" ht="12.75" customHeight="1">
      <c r="C33" s="3736" t="s">
        <v>1394</v>
      </c>
      <c r="D33" s="3738"/>
      <c r="E33" s="1547"/>
      <c r="F33" s="1617">
        <v>3</v>
      </c>
      <c r="J33" s="551" t="s">
        <v>1545</v>
      </c>
      <c r="K33" s="3736"/>
      <c r="N33" s="1617"/>
      <c r="O33" s="1485"/>
    </row>
    <row r="34" spans="1:20" ht="13.4" customHeight="1">
      <c r="C34" s="3736" t="s">
        <v>1395</v>
      </c>
      <c r="D34" s="3738"/>
      <c r="E34" s="1547"/>
      <c r="F34" s="1617">
        <v>113</v>
      </c>
      <c r="J34" s="551" t="s">
        <v>1546</v>
      </c>
      <c r="K34" s="3736"/>
      <c r="N34" s="1617"/>
      <c r="O34" s="1485"/>
    </row>
    <row r="35" spans="1:20" ht="12.75" customHeight="1">
      <c r="C35" s="3736"/>
      <c r="D35" s="3738"/>
      <c r="E35" s="1547"/>
      <c r="F35" s="1617"/>
      <c r="G35" s="1613" t="s">
        <v>14</v>
      </c>
      <c r="J35" s="551" t="s">
        <v>1548</v>
      </c>
      <c r="K35" s="3736"/>
      <c r="N35" s="1617"/>
      <c r="O35" s="1485"/>
    </row>
    <row r="36" spans="1:20" ht="12.75" customHeight="1">
      <c r="C36" s="3736"/>
      <c r="D36" s="3738"/>
      <c r="E36" s="1547"/>
      <c r="F36" s="1617"/>
      <c r="J36" s="551" t="s">
        <v>1550</v>
      </c>
      <c r="K36" s="3736"/>
      <c r="N36" s="1617"/>
      <c r="O36" s="1485"/>
      <c r="R36" s="1547"/>
    </row>
    <row r="37" spans="1:20" ht="12.75" customHeight="1">
      <c r="B37" s="1619" t="s">
        <v>723</v>
      </c>
      <c r="C37" s="1488"/>
      <c r="D37" s="1485"/>
      <c r="E37" s="1486"/>
      <c r="G37" s="1485"/>
      <c r="J37" s="551"/>
      <c r="K37" s="3736"/>
      <c r="N37" s="1617"/>
      <c r="O37" s="1485"/>
      <c r="R37" s="558"/>
    </row>
    <row r="38" spans="1:20" ht="12.75" customHeight="1">
      <c r="B38" s="564" t="s">
        <v>1529</v>
      </c>
      <c r="C38" s="1488"/>
      <c r="D38" s="1485"/>
      <c r="E38" s="1486"/>
      <c r="G38" s="1485"/>
      <c r="J38" s="551" t="s">
        <v>1551</v>
      </c>
      <c r="K38" s="3736"/>
      <c r="N38" s="1617"/>
      <c r="O38" s="1485"/>
      <c r="R38" s="558"/>
      <c r="T38" s="658"/>
    </row>
    <row r="39" spans="1:20" ht="12.75" customHeight="1">
      <c r="B39" s="564" t="s">
        <v>1530</v>
      </c>
      <c r="C39" s="1488"/>
      <c r="D39" s="1485"/>
      <c r="E39" s="1486"/>
      <c r="G39" s="1485"/>
      <c r="J39" s="551" t="s">
        <v>1543</v>
      </c>
      <c r="K39" s="3736"/>
      <c r="N39" s="1617"/>
      <c r="O39" s="1485"/>
      <c r="T39" s="658"/>
    </row>
    <row r="40" spans="1:20" ht="13.4" customHeight="1">
      <c r="B40" s="1484"/>
      <c r="C40" s="1488"/>
      <c r="D40" s="1485"/>
      <c r="E40" s="1486"/>
      <c r="F40" s="1615"/>
      <c r="G40" s="1485"/>
      <c r="J40" s="551" t="s">
        <v>1549</v>
      </c>
      <c r="K40" s="3736"/>
      <c r="N40" s="1617"/>
      <c r="O40" s="1485"/>
      <c r="T40" s="658"/>
    </row>
    <row r="41" spans="1:20" ht="12.75" customHeight="1">
      <c r="B41" s="1548" t="s">
        <v>893</v>
      </c>
      <c r="C41" s="1484"/>
      <c r="D41" s="1614"/>
      <c r="E41" s="564"/>
      <c r="F41" s="1615"/>
      <c r="G41" s="1485"/>
      <c r="T41" s="658"/>
    </row>
    <row r="42" spans="1:20" ht="12.75" customHeight="1">
      <c r="B42" s="1548" t="s">
        <v>894</v>
      </c>
      <c r="C42" s="1484"/>
      <c r="D42" s="1614"/>
      <c r="E42" s="564"/>
      <c r="G42" s="1485"/>
      <c r="T42" s="658"/>
    </row>
    <row r="43" spans="1:20" ht="12.75" customHeight="1">
      <c r="B43" s="1548" t="s">
        <v>1531</v>
      </c>
      <c r="C43" s="1484"/>
      <c r="F43" s="1615"/>
      <c r="G43" s="1485"/>
      <c r="T43" s="658"/>
    </row>
    <row r="44" spans="1:20" ht="12.75" customHeight="1">
      <c r="B44" s="2105" t="s">
        <v>1532</v>
      </c>
      <c r="C44" s="1484"/>
      <c r="D44" s="1614"/>
      <c r="E44" s="564"/>
      <c r="F44" s="1615"/>
      <c r="G44" s="1485"/>
      <c r="P44" s="1618"/>
      <c r="T44" s="658"/>
    </row>
    <row r="45" spans="1:20" ht="12.75" customHeight="1">
      <c r="B45" s="1548"/>
      <c r="C45" s="1484"/>
      <c r="D45" s="1614"/>
      <c r="E45" s="564"/>
      <c r="F45" s="1615"/>
      <c r="G45" s="1485"/>
      <c r="P45" s="1618"/>
      <c r="T45" s="658"/>
    </row>
    <row r="46" spans="1:20" ht="13.5" customHeight="1">
      <c r="C46" s="3736"/>
      <c r="F46" s="1615"/>
      <c r="G46" s="1486" t="s">
        <v>14</v>
      </c>
      <c r="P46" s="564"/>
    </row>
    <row r="47" spans="1:20" ht="12.75" customHeight="1">
      <c r="C47" s="3736"/>
      <c r="D47" s="3738"/>
      <c r="E47" s="1547"/>
      <c r="F47" s="1617"/>
    </row>
    <row r="48" spans="1:20" ht="12.75" customHeight="1">
      <c r="A48" s="564"/>
      <c r="C48" s="3736"/>
      <c r="F48" s="1615"/>
    </row>
    <row r="49" spans="1:21" ht="13.4" customHeight="1">
      <c r="C49" s="3736"/>
      <c r="F49" s="1617"/>
    </row>
    <row r="50" spans="1:21" ht="12.75" customHeight="1">
      <c r="A50" s="1613"/>
      <c r="C50" s="1619"/>
      <c r="D50" s="1614"/>
      <c r="E50" s="564"/>
      <c r="F50" s="1615"/>
      <c r="G50" s="1613"/>
      <c r="S50" s="549"/>
      <c r="T50" s="658"/>
      <c r="U50" s="658"/>
    </row>
    <row r="51" spans="1:21" ht="12.75" customHeight="1">
      <c r="C51" s="3736"/>
      <c r="D51" s="3738"/>
      <c r="E51" s="1547"/>
      <c r="F51" s="1617"/>
      <c r="G51" s="1613"/>
      <c r="S51" s="561"/>
      <c r="T51" s="658"/>
      <c r="U51" s="658"/>
    </row>
    <row r="52" spans="1:21" ht="12.75" customHeight="1">
      <c r="C52" s="3736"/>
      <c r="D52" s="3738"/>
      <c r="E52" s="1547"/>
      <c r="F52" s="1617"/>
      <c r="S52" s="561"/>
      <c r="T52" s="658"/>
      <c r="U52" s="658"/>
    </row>
    <row r="53" spans="1:21" ht="12.75" customHeight="1">
      <c r="C53" s="3736"/>
      <c r="D53" s="3738"/>
      <c r="E53" s="1547"/>
      <c r="F53" s="1617"/>
      <c r="O53" s="1617"/>
      <c r="P53" s="1485"/>
      <c r="S53" s="562"/>
      <c r="T53" s="658"/>
      <c r="U53" s="658"/>
    </row>
    <row r="54" spans="1:21" ht="12.75" customHeight="1">
      <c r="C54" s="3736"/>
      <c r="D54" s="3738"/>
      <c r="E54" s="1547"/>
      <c r="F54" s="1617"/>
      <c r="R54" s="553"/>
    </row>
    <row r="55" spans="1:21" ht="12.75" customHeight="1">
      <c r="C55" s="1619"/>
      <c r="D55" s="3738"/>
      <c r="E55" s="1547"/>
      <c r="F55" s="1615"/>
      <c r="R55" s="553"/>
    </row>
    <row r="56" spans="1:21" ht="12.75" customHeight="1">
      <c r="C56" s="1619"/>
      <c r="D56" s="1614"/>
      <c r="E56" s="564"/>
      <c r="F56" s="1615"/>
      <c r="R56" s="1489"/>
    </row>
    <row r="57" spans="1:21" ht="12.75" customHeight="1">
      <c r="B57" s="1486"/>
      <c r="C57" s="3736"/>
      <c r="D57" s="3738"/>
      <c r="E57" s="1547"/>
      <c r="F57" s="1617"/>
      <c r="R57" s="1489"/>
    </row>
    <row r="58" spans="1:21" ht="12.75" customHeight="1">
      <c r="B58" s="1486"/>
      <c r="C58" s="3736"/>
      <c r="D58" s="3738"/>
      <c r="E58" s="1547"/>
      <c r="F58" s="1617"/>
      <c r="R58" s="1489"/>
    </row>
    <row r="59" spans="1:21" ht="12.75" customHeight="1">
      <c r="B59" s="564"/>
      <c r="C59" s="551"/>
      <c r="F59" s="1617"/>
      <c r="R59" s="1489"/>
    </row>
    <row r="60" spans="1:21" ht="12.75" customHeight="1">
      <c r="B60" s="1486"/>
      <c r="G60" s="3873" t="s">
        <v>14</v>
      </c>
      <c r="H60" s="1617"/>
      <c r="R60" s="1489"/>
    </row>
    <row r="61" spans="1:21" ht="12.75" customHeight="1">
      <c r="B61" s="1486"/>
      <c r="G61" s="3874" t="s">
        <v>14</v>
      </c>
      <c r="R61" s="1489"/>
    </row>
    <row r="62" spans="1:21" ht="12.75" customHeight="1">
      <c r="N62" s="1617"/>
      <c r="P62" s="1547"/>
      <c r="R62" s="1489"/>
    </row>
    <row r="63" spans="1:21" ht="12.75" customHeight="1">
      <c r="B63" s="1624"/>
      <c r="H63" s="1549"/>
      <c r="I63" s="550"/>
      <c r="N63" s="1486"/>
      <c r="O63" s="1486"/>
      <c r="P63" s="1547"/>
      <c r="R63" s="1489"/>
    </row>
    <row r="64" spans="1:21" ht="12.75" customHeight="1">
      <c r="H64" s="1549"/>
      <c r="I64" s="1549"/>
      <c r="J64" s="1547"/>
      <c r="K64" s="1547"/>
      <c r="L64" s="1547"/>
      <c r="M64" s="1547"/>
      <c r="N64" s="1547"/>
      <c r="O64" s="1547"/>
      <c r="R64" s="1489"/>
    </row>
    <row r="65" spans="1:19" s="559" customFormat="1" ht="12.75" customHeight="1">
      <c r="A65" s="1486"/>
      <c r="B65" s="1487"/>
      <c r="C65" s="3736"/>
      <c r="D65" s="1485"/>
      <c r="E65" s="1485"/>
      <c r="F65" s="1617"/>
      <c r="G65" s="1486"/>
      <c r="H65" s="1549"/>
      <c r="I65" s="1549"/>
      <c r="J65" s="1619"/>
      <c r="K65" s="1548"/>
      <c r="L65" s="564"/>
      <c r="M65" s="564"/>
      <c r="N65" s="564"/>
      <c r="O65" s="564"/>
      <c r="P65" s="1549"/>
      <c r="R65" s="1489"/>
    </row>
    <row r="66" spans="1:19" s="559" customFormat="1" ht="12.75" customHeight="1">
      <c r="A66" s="1486"/>
      <c r="B66" s="1487"/>
      <c r="G66" s="1486"/>
      <c r="H66" s="1549"/>
      <c r="I66" s="1549"/>
      <c r="J66" s="1619"/>
      <c r="K66" s="564"/>
      <c r="L66" s="564"/>
      <c r="M66" s="564"/>
      <c r="N66" s="564"/>
      <c r="O66" s="564"/>
      <c r="P66" s="1549"/>
      <c r="R66" s="1489"/>
    </row>
    <row r="67" spans="1:19" ht="12.75" customHeight="1">
      <c r="C67" s="3736"/>
      <c r="D67" s="1485"/>
      <c r="F67" s="1617"/>
      <c r="H67" s="1549"/>
      <c r="I67" s="1549"/>
      <c r="J67" s="1619"/>
      <c r="K67" s="564"/>
      <c r="L67" s="564"/>
      <c r="M67" s="564"/>
      <c r="N67" s="564"/>
      <c r="O67" s="564"/>
      <c r="R67" s="563"/>
    </row>
    <row r="68" spans="1:19" ht="12.75" customHeight="1">
      <c r="C68" s="3736"/>
      <c r="D68" s="1485"/>
      <c r="F68" s="1617"/>
      <c r="I68" s="1547"/>
      <c r="J68" s="1547"/>
      <c r="K68" s="1547"/>
      <c r="L68" s="1547"/>
      <c r="M68" s="1547"/>
      <c r="N68" s="1547"/>
      <c r="O68" s="1547"/>
      <c r="R68" s="1547"/>
      <c r="S68" s="1547"/>
    </row>
    <row r="69" spans="1:19" ht="12.75" customHeight="1">
      <c r="C69" s="3736"/>
      <c r="D69" s="1485"/>
      <c r="F69" s="1617"/>
      <c r="I69" s="1547"/>
      <c r="J69" s="1547"/>
      <c r="K69" s="1547"/>
      <c r="L69" s="1547"/>
      <c r="M69" s="1547"/>
      <c r="N69" s="1547"/>
      <c r="O69" s="1547"/>
      <c r="R69" s="1547"/>
      <c r="S69" s="1547"/>
    </row>
    <row r="70" spans="1:19" ht="12.75" customHeight="1">
      <c r="A70" s="559"/>
      <c r="B70" s="662"/>
      <c r="C70" s="3736"/>
      <c r="D70" s="1485"/>
      <c r="F70" s="1617"/>
      <c r="G70" s="559"/>
      <c r="H70" s="1549"/>
      <c r="I70" s="1547"/>
      <c r="J70" s="1547"/>
      <c r="K70" s="1547"/>
      <c r="L70" s="1547"/>
      <c r="M70" s="1547"/>
      <c r="N70" s="1547"/>
      <c r="O70" s="1547"/>
      <c r="R70" s="1547"/>
      <c r="S70" s="1547"/>
    </row>
    <row r="71" spans="1:19" ht="12.75" customHeight="1">
      <c r="A71" s="559"/>
      <c r="B71" s="559"/>
      <c r="C71" s="3736"/>
      <c r="D71" s="1485"/>
      <c r="F71" s="1617"/>
      <c r="G71" s="559"/>
      <c r="H71" s="1549"/>
      <c r="I71" s="1547"/>
      <c r="J71" s="1547"/>
      <c r="K71" s="1547"/>
      <c r="L71" s="1547"/>
      <c r="M71" s="1547"/>
      <c r="N71" s="1547"/>
      <c r="O71" s="1547"/>
      <c r="R71" s="1547"/>
      <c r="S71" s="1547"/>
    </row>
    <row r="72" spans="1:19" ht="12.75" customHeight="1">
      <c r="C72" s="3736"/>
      <c r="D72" s="1485"/>
      <c r="F72" s="1617"/>
      <c r="H72" s="1549"/>
      <c r="I72" s="1547"/>
      <c r="J72" s="1547"/>
      <c r="K72" s="1547"/>
      <c r="L72" s="1547"/>
      <c r="M72" s="1547"/>
      <c r="N72" s="1547"/>
      <c r="O72" s="1547"/>
      <c r="R72" s="1547"/>
    </row>
    <row r="73" spans="1:19" ht="12.75" customHeight="1">
      <c r="C73" s="3736"/>
      <c r="D73" s="1485"/>
      <c r="F73" s="1617"/>
      <c r="H73" s="1549"/>
      <c r="I73" s="1547"/>
      <c r="J73" s="1547"/>
      <c r="K73" s="1547"/>
      <c r="L73" s="1547"/>
      <c r="M73" s="1547"/>
      <c r="N73" s="1547"/>
      <c r="O73" s="1547"/>
      <c r="R73" s="1547"/>
      <c r="S73" s="1547"/>
    </row>
    <row r="74" spans="1:19" ht="12.75" customHeight="1">
      <c r="C74" s="3736"/>
      <c r="D74" s="1485"/>
      <c r="F74" s="1617"/>
      <c r="H74" s="1549"/>
      <c r="L74" s="549"/>
      <c r="M74" s="549"/>
      <c r="N74" s="549"/>
      <c r="O74" s="549"/>
      <c r="R74" s="1547"/>
      <c r="S74" s="1547"/>
    </row>
    <row r="75" spans="1:19" ht="12.75" customHeight="1">
      <c r="H75" s="1549"/>
      <c r="L75" s="549"/>
      <c r="M75" s="549"/>
      <c r="N75" s="549"/>
      <c r="O75" s="549"/>
      <c r="R75" s="1547"/>
      <c r="S75" s="1547"/>
    </row>
    <row r="76" spans="1:19" ht="12.75" customHeight="1">
      <c r="A76" s="1547"/>
      <c r="H76" s="1549"/>
      <c r="M76" s="1549"/>
      <c r="N76" s="1549"/>
      <c r="R76" s="1547"/>
      <c r="S76" s="1547"/>
    </row>
    <row r="77" spans="1:19" ht="12.75" customHeight="1">
      <c r="A77" s="1547"/>
      <c r="H77" s="1549"/>
      <c r="I77" s="551"/>
      <c r="M77" s="565"/>
      <c r="N77" s="566"/>
      <c r="R77" s="1547"/>
      <c r="S77" s="1547"/>
    </row>
    <row r="78" spans="1:19" ht="12.75" customHeight="1">
      <c r="A78" s="1547"/>
      <c r="H78" s="1549"/>
      <c r="I78" s="551"/>
      <c r="M78" s="565"/>
      <c r="N78" s="566"/>
      <c r="P78" s="566"/>
      <c r="R78" s="1547"/>
      <c r="S78" s="570"/>
    </row>
    <row r="79" spans="1:19" ht="12.75" customHeight="1">
      <c r="A79" s="1547"/>
      <c r="H79" s="1549"/>
      <c r="I79" s="1549"/>
      <c r="M79" s="565"/>
      <c r="N79" s="566"/>
      <c r="P79" s="554"/>
      <c r="R79" s="570"/>
      <c r="S79" s="570"/>
    </row>
    <row r="80" spans="1:19" ht="12.75" customHeight="1">
      <c r="A80" s="1547"/>
      <c r="H80" s="1549"/>
      <c r="I80" s="1549"/>
      <c r="M80" s="565"/>
      <c r="N80" s="566"/>
      <c r="P80" s="554"/>
      <c r="R80" s="570"/>
      <c r="S80" s="1547"/>
    </row>
    <row r="81" spans="1:18" ht="12.75" customHeight="1">
      <c r="A81" s="1625"/>
      <c r="H81" s="3571"/>
      <c r="I81" s="1549"/>
      <c r="M81" s="565"/>
      <c r="N81" s="566"/>
      <c r="P81" s="554"/>
      <c r="R81" s="570"/>
    </row>
    <row r="82" spans="1:18" ht="12.75" customHeight="1">
      <c r="A82" s="1549"/>
      <c r="H82" s="1617"/>
      <c r="I82" s="1549"/>
      <c r="M82" s="565"/>
      <c r="N82" s="566"/>
      <c r="P82" s="554"/>
      <c r="R82" s="570"/>
    </row>
    <row r="83" spans="1:18" ht="12.75" customHeight="1">
      <c r="A83" s="1547"/>
      <c r="H83" s="1617"/>
      <c r="I83" s="1549"/>
      <c r="M83" s="565"/>
      <c r="N83" s="566"/>
      <c r="P83" s="554"/>
      <c r="R83" s="570"/>
    </row>
    <row r="84" spans="1:18" ht="12.75" customHeight="1">
      <c r="A84" s="1547"/>
      <c r="H84" s="1617"/>
      <c r="I84" s="1549"/>
      <c r="M84" s="565"/>
      <c r="N84" s="566"/>
      <c r="P84" s="554"/>
      <c r="R84" s="1547"/>
    </row>
    <row r="85" spans="1:18" ht="12.75" customHeight="1">
      <c r="A85" s="1547"/>
      <c r="H85" s="1617"/>
      <c r="I85" s="1549"/>
      <c r="M85" s="565"/>
      <c r="N85" s="566"/>
      <c r="P85" s="554"/>
      <c r="R85" s="1547"/>
    </row>
    <row r="86" spans="1:18" ht="12.75" customHeight="1">
      <c r="A86" s="1547"/>
      <c r="H86" s="1617"/>
      <c r="I86" s="1549"/>
      <c r="M86" s="565"/>
      <c r="N86" s="566"/>
      <c r="P86" s="554"/>
      <c r="R86" s="1547"/>
    </row>
    <row r="87" spans="1:18" ht="12.75" customHeight="1">
      <c r="A87" s="1547"/>
      <c r="H87" s="1617"/>
      <c r="I87" s="551"/>
      <c r="M87" s="565"/>
      <c r="N87" s="566"/>
      <c r="P87" s="554"/>
    </row>
    <row r="88" spans="1:18" ht="12.75" customHeight="1">
      <c r="A88" s="1547"/>
      <c r="H88" s="1617"/>
      <c r="I88" s="551"/>
      <c r="M88" s="565"/>
      <c r="N88" s="566"/>
      <c r="P88" s="554"/>
    </row>
    <row r="89" spans="1:18" ht="12.75" customHeight="1">
      <c r="A89" s="1547"/>
      <c r="I89" s="551"/>
      <c r="M89" s="565"/>
      <c r="N89" s="566"/>
      <c r="P89" s="554"/>
    </row>
    <row r="90" spans="1:18" ht="12.75" customHeight="1">
      <c r="A90" s="1547"/>
      <c r="B90" s="1484"/>
      <c r="C90" s="551"/>
      <c r="D90" s="1485"/>
      <c r="F90" s="1485"/>
      <c r="G90" s="1485"/>
      <c r="I90" s="551"/>
      <c r="M90" s="563"/>
      <c r="N90" s="566"/>
      <c r="P90" s="554"/>
    </row>
    <row r="91" spans="1:18" ht="12.75" customHeight="1">
      <c r="A91" s="557"/>
      <c r="B91" s="550"/>
      <c r="C91" s="551"/>
      <c r="D91" s="1485"/>
      <c r="F91" s="1485"/>
      <c r="G91" s="1485"/>
      <c r="I91" s="551"/>
      <c r="J91" s="551"/>
      <c r="K91" s="1547"/>
      <c r="L91" s="560"/>
      <c r="M91" s="567"/>
      <c r="N91" s="567"/>
      <c r="P91" s="554"/>
    </row>
    <row r="92" spans="1:18" ht="12.75" customHeight="1">
      <c r="B92" s="550"/>
      <c r="C92" s="551"/>
      <c r="D92" s="1485"/>
      <c r="F92" s="1485"/>
      <c r="G92" s="1485"/>
      <c r="I92" s="551"/>
      <c r="J92" s="551"/>
      <c r="K92" s="1547"/>
      <c r="L92" s="560"/>
      <c r="M92" s="567"/>
      <c r="N92" s="567"/>
      <c r="P92" s="554"/>
    </row>
    <row r="93" spans="1:18" ht="13.5" customHeight="1">
      <c r="B93" s="550"/>
      <c r="C93" s="551"/>
      <c r="D93" s="1485"/>
      <c r="F93" s="1485"/>
      <c r="G93" s="1485"/>
      <c r="I93" s="551"/>
      <c r="J93" s="551"/>
      <c r="K93" s="1547"/>
      <c r="L93" s="560"/>
      <c r="M93" s="567"/>
      <c r="N93" s="567"/>
      <c r="P93" s="554"/>
    </row>
    <row r="94" spans="1:18" ht="11.25" customHeight="1">
      <c r="B94" s="550"/>
      <c r="C94" s="551"/>
      <c r="D94" s="1485"/>
      <c r="F94" s="1485"/>
      <c r="G94" s="1485"/>
      <c r="I94" s="551"/>
      <c r="J94" s="551"/>
      <c r="K94" s="1547"/>
      <c r="L94" s="560"/>
      <c r="M94" s="567"/>
      <c r="N94" s="567"/>
      <c r="P94" s="554"/>
    </row>
    <row r="95" spans="1:18">
      <c r="C95" s="662"/>
      <c r="D95" s="550"/>
      <c r="E95" s="1547"/>
      <c r="F95" s="1547"/>
      <c r="G95" s="1547"/>
      <c r="I95" s="551"/>
      <c r="J95" s="551"/>
      <c r="K95" s="1547"/>
      <c r="L95" s="560"/>
      <c r="M95" s="567"/>
      <c r="N95" s="567"/>
      <c r="P95" s="554"/>
    </row>
    <row r="96" spans="1:18">
      <c r="B96" s="571"/>
      <c r="C96" s="550"/>
      <c r="D96" s="550"/>
      <c r="E96" s="1547"/>
      <c r="F96" s="1547"/>
      <c r="G96" s="1547"/>
      <c r="I96" s="551"/>
      <c r="J96" s="551"/>
      <c r="K96" s="1547"/>
      <c r="L96" s="560"/>
      <c r="M96" s="567"/>
      <c r="N96" s="567"/>
      <c r="P96" s="554"/>
    </row>
    <row r="97" spans="1:17">
      <c r="A97" s="557"/>
      <c r="B97" s="571"/>
      <c r="C97" s="550"/>
      <c r="D97" s="550"/>
      <c r="E97" s="1547"/>
      <c r="F97" s="1547"/>
      <c r="G97" s="1547"/>
      <c r="I97" s="551"/>
      <c r="J97" s="551"/>
      <c r="K97" s="1547"/>
      <c r="L97" s="560"/>
      <c r="M97" s="567"/>
      <c r="N97" s="567"/>
    </row>
    <row r="98" spans="1:17">
      <c r="A98" s="1547"/>
      <c r="B98" s="571"/>
      <c r="C98" s="550"/>
      <c r="D98" s="550"/>
      <c r="E98" s="1547"/>
      <c r="F98" s="1547"/>
      <c r="I98" s="551"/>
      <c r="J98" s="551"/>
      <c r="K98" s="1547"/>
      <c r="L98" s="560"/>
      <c r="M98" s="567"/>
      <c r="N98" s="567"/>
    </row>
    <row r="99" spans="1:17">
      <c r="A99" s="1547"/>
      <c r="I99" s="551"/>
      <c r="J99" s="551"/>
      <c r="K99" s="1547"/>
      <c r="L99" s="560"/>
      <c r="M99" s="567"/>
      <c r="N99" s="567"/>
    </row>
    <row r="100" spans="1:17">
      <c r="I100" s="551"/>
      <c r="J100" s="551"/>
      <c r="K100" s="1547"/>
      <c r="L100" s="560"/>
      <c r="M100" s="567"/>
      <c r="N100" s="567"/>
      <c r="Q100" s="1547"/>
    </row>
    <row r="101" spans="1:17">
      <c r="A101" s="1547"/>
      <c r="I101" s="551"/>
      <c r="J101" s="551"/>
      <c r="K101" s="1547"/>
      <c r="L101" s="560"/>
      <c r="M101" s="567"/>
      <c r="N101" s="567"/>
      <c r="Q101" s="1547"/>
    </row>
    <row r="102" spans="1:17">
      <c r="A102" s="1547"/>
      <c r="G102" s="1549"/>
      <c r="I102" s="551"/>
      <c r="J102" s="551"/>
      <c r="K102" s="1547"/>
      <c r="L102" s="560"/>
      <c r="M102" s="567"/>
      <c r="N102" s="567"/>
      <c r="Q102" s="1547"/>
    </row>
    <row r="103" spans="1:17">
      <c r="B103" s="1549"/>
      <c r="C103" s="1549"/>
      <c r="D103" s="1549"/>
      <c r="E103" s="1549"/>
      <c r="F103" s="1549"/>
      <c r="G103" s="1549"/>
      <c r="I103" s="551"/>
      <c r="J103" s="551"/>
      <c r="K103" s="1547"/>
      <c r="L103" s="560"/>
      <c r="M103" s="567"/>
      <c r="N103" s="567"/>
      <c r="Q103" s="1547"/>
    </row>
    <row r="104" spans="1:17">
      <c r="B104" s="1549"/>
      <c r="C104" s="1549"/>
      <c r="D104" s="1549"/>
      <c r="E104" s="1549"/>
      <c r="F104" s="1549"/>
      <c r="G104" s="1549"/>
      <c r="I104" s="551"/>
      <c r="J104" s="551"/>
      <c r="K104" s="1547"/>
      <c r="L104" s="560"/>
      <c r="M104" s="567"/>
      <c r="N104" s="567"/>
      <c r="Q104" s="1547"/>
    </row>
    <row r="105" spans="1:17">
      <c r="B105" s="1549"/>
      <c r="C105" s="1549"/>
      <c r="D105" s="1549"/>
      <c r="E105" s="1549"/>
      <c r="F105" s="1549"/>
      <c r="G105" s="1549"/>
      <c r="I105" s="551"/>
      <c r="J105" s="551"/>
      <c r="K105" s="1547"/>
      <c r="L105" s="560"/>
      <c r="M105" s="567"/>
      <c r="N105" s="567"/>
      <c r="Q105" s="1547"/>
    </row>
    <row r="106" spans="1:17">
      <c r="B106" s="1549"/>
      <c r="C106" s="1549"/>
      <c r="D106" s="1549"/>
      <c r="E106" s="1549"/>
      <c r="F106" s="1549"/>
      <c r="G106" s="1549"/>
      <c r="I106" s="551"/>
      <c r="J106" s="551"/>
      <c r="K106" s="1547"/>
      <c r="L106" s="560"/>
      <c r="M106" s="567"/>
      <c r="N106" s="567"/>
      <c r="Q106" s="1547"/>
    </row>
    <row r="107" spans="1:17">
      <c r="B107" s="1549"/>
      <c r="C107" s="1549"/>
      <c r="D107" s="1549"/>
      <c r="E107" s="1549"/>
      <c r="F107" s="1549"/>
      <c r="G107" s="1549"/>
      <c r="I107" s="551"/>
      <c r="J107" s="551"/>
      <c r="K107" s="1547"/>
      <c r="L107" s="560"/>
      <c r="M107" s="567"/>
      <c r="N107" s="567"/>
      <c r="P107" s="554"/>
      <c r="Q107" s="1547"/>
    </row>
    <row r="108" spans="1:17">
      <c r="B108" s="1549"/>
      <c r="C108" s="1549"/>
      <c r="D108" s="1549"/>
      <c r="E108" s="1549"/>
      <c r="F108" s="1549"/>
      <c r="G108" s="1549"/>
      <c r="I108" s="551"/>
      <c r="J108" s="551"/>
      <c r="K108" s="1547"/>
      <c r="L108" s="560"/>
      <c r="M108" s="567"/>
      <c r="N108" s="567"/>
      <c r="P108" s="554"/>
      <c r="Q108" s="1547"/>
    </row>
    <row r="109" spans="1:17">
      <c r="A109" s="1549"/>
      <c r="B109" s="1549"/>
      <c r="C109" s="1549"/>
      <c r="D109" s="1549"/>
      <c r="E109" s="1549"/>
      <c r="F109" s="1549"/>
      <c r="G109" s="1549"/>
      <c r="I109" s="551"/>
      <c r="J109" s="551"/>
      <c r="K109" s="1547"/>
      <c r="L109" s="560"/>
      <c r="M109" s="567"/>
      <c r="N109" s="567"/>
      <c r="P109" s="554"/>
      <c r="Q109" s="1547"/>
    </row>
    <row r="110" spans="1:17">
      <c r="A110" s="1549"/>
      <c r="B110" s="1549"/>
      <c r="C110" s="1549"/>
      <c r="D110" s="1549"/>
      <c r="E110" s="1549"/>
      <c r="F110" s="1549"/>
      <c r="G110" s="1549"/>
      <c r="J110" s="1487"/>
      <c r="K110" s="1547"/>
      <c r="L110" s="560"/>
      <c r="M110" s="567"/>
      <c r="N110" s="567"/>
      <c r="P110" s="554"/>
      <c r="Q110" s="1547"/>
    </row>
    <row r="111" spans="1:17">
      <c r="A111" s="1549"/>
      <c r="B111" s="1549"/>
      <c r="C111" s="1549"/>
      <c r="D111" s="1549"/>
      <c r="E111" s="1549"/>
      <c r="F111" s="1549"/>
      <c r="G111" s="1549"/>
      <c r="J111" s="1487"/>
      <c r="K111" s="1547"/>
      <c r="L111" s="560"/>
      <c r="M111" s="567"/>
      <c r="N111" s="567"/>
      <c r="P111" s="1547"/>
      <c r="Q111" s="1547"/>
    </row>
    <row r="112" spans="1:17">
      <c r="A112" s="1549"/>
      <c r="B112" s="1549"/>
      <c r="C112" s="1549"/>
      <c r="D112" s="1549"/>
      <c r="E112" s="1549"/>
      <c r="F112" s="1549"/>
      <c r="G112" s="1549"/>
      <c r="H112" s="569"/>
      <c r="P112" s="1547"/>
      <c r="Q112" s="1547"/>
    </row>
    <row r="113" spans="1:17">
      <c r="A113" s="1549"/>
      <c r="B113" s="1549"/>
      <c r="C113" s="1549"/>
      <c r="D113" s="1549"/>
      <c r="E113" s="1549"/>
      <c r="F113" s="1549"/>
      <c r="G113" s="1549"/>
      <c r="H113" s="569"/>
      <c r="P113" s="1547"/>
      <c r="Q113" s="1547"/>
    </row>
    <row r="114" spans="1:17">
      <c r="A114" s="1549"/>
      <c r="B114" s="1549"/>
      <c r="C114" s="1549"/>
      <c r="D114" s="1549"/>
      <c r="E114" s="1549"/>
      <c r="F114" s="1549"/>
      <c r="G114" s="1549"/>
      <c r="H114" s="569"/>
      <c r="P114" s="1547"/>
      <c r="Q114" s="1547"/>
    </row>
    <row r="115" spans="1:17">
      <c r="A115" s="1549"/>
      <c r="B115" s="1549"/>
      <c r="C115" s="1549"/>
      <c r="D115" s="1549"/>
      <c r="E115" s="1549"/>
      <c r="F115" s="1549"/>
      <c r="G115" s="1549"/>
      <c r="H115" s="569"/>
      <c r="P115" s="1547"/>
      <c r="Q115" s="1547"/>
    </row>
    <row r="116" spans="1:17">
      <c r="A116" s="1549"/>
      <c r="B116" s="1549"/>
      <c r="C116" s="1549"/>
      <c r="D116" s="1549"/>
      <c r="E116" s="1549"/>
      <c r="F116" s="1549"/>
      <c r="G116" s="1549"/>
      <c r="I116" s="554"/>
      <c r="J116" s="551"/>
      <c r="K116" s="1547"/>
      <c r="L116" s="1547"/>
      <c r="M116" s="1547"/>
      <c r="N116" s="1547"/>
      <c r="O116" s="1547"/>
      <c r="P116" s="1547"/>
      <c r="Q116" s="1547"/>
    </row>
    <row r="117" spans="1:17">
      <c r="A117" s="1549"/>
      <c r="B117" s="1549"/>
      <c r="C117" s="1549"/>
      <c r="D117" s="1549"/>
      <c r="E117" s="1549"/>
      <c r="F117" s="1549"/>
      <c r="G117" s="1549"/>
      <c r="I117" s="554"/>
      <c r="J117" s="551"/>
      <c r="K117" s="1547"/>
      <c r="L117" s="1547"/>
      <c r="M117" s="1547"/>
      <c r="N117" s="1547"/>
      <c r="O117" s="1547"/>
      <c r="P117" s="1547"/>
      <c r="Q117" s="1547"/>
    </row>
    <row r="118" spans="1:17">
      <c r="A118" s="1549"/>
      <c r="B118" s="1549"/>
      <c r="C118" s="1549"/>
      <c r="D118" s="1549"/>
      <c r="E118" s="1549"/>
      <c r="F118" s="1549"/>
      <c r="I118" s="554"/>
      <c r="J118" s="551"/>
      <c r="K118" s="1547"/>
      <c r="L118" s="1547"/>
      <c r="M118" s="1547"/>
      <c r="N118" s="1547"/>
      <c r="O118" s="1547"/>
      <c r="P118" s="1547"/>
      <c r="Q118" s="1547"/>
    </row>
    <row r="119" spans="1:17">
      <c r="A119" s="1549"/>
      <c r="I119" s="554"/>
      <c r="J119" s="551"/>
      <c r="K119" s="1547"/>
      <c r="L119" s="1547"/>
      <c r="M119" s="1547"/>
      <c r="N119" s="1547"/>
      <c r="O119" s="1547"/>
      <c r="Q119" s="1547"/>
    </row>
    <row r="120" spans="1:17">
      <c r="A120" s="1549"/>
      <c r="I120" s="554"/>
      <c r="J120" s="551"/>
      <c r="K120" s="1547"/>
      <c r="L120" s="1547"/>
      <c r="M120" s="1547"/>
      <c r="N120" s="1547"/>
      <c r="O120" s="1547"/>
      <c r="P120" s="1547"/>
      <c r="Q120" s="1547"/>
    </row>
    <row r="121" spans="1:17">
      <c r="A121" s="1549"/>
      <c r="G121" s="1549"/>
      <c r="I121" s="554"/>
      <c r="J121" s="551"/>
      <c r="K121" s="1547"/>
      <c r="L121" s="1547"/>
      <c r="M121" s="1547"/>
      <c r="N121" s="1547"/>
      <c r="O121" s="1547"/>
      <c r="P121" s="568"/>
      <c r="Q121" s="1547"/>
    </row>
    <row r="122" spans="1:17">
      <c r="B122" s="1549"/>
      <c r="C122" s="1549"/>
      <c r="D122" s="1549"/>
      <c r="E122" s="1549"/>
      <c r="F122" s="1549"/>
      <c r="G122" s="1549"/>
      <c r="I122" s="1549"/>
      <c r="J122" s="551"/>
      <c r="K122" s="1547"/>
      <c r="L122" s="1547"/>
      <c r="M122" s="1547"/>
      <c r="N122" s="1547"/>
      <c r="O122" s="1547"/>
      <c r="P122" s="1547"/>
      <c r="Q122" s="1547"/>
    </row>
    <row r="123" spans="1:17">
      <c r="B123" s="1549"/>
      <c r="C123" s="1549"/>
      <c r="D123" s="1549"/>
      <c r="E123" s="1549"/>
      <c r="F123" s="1549"/>
      <c r="G123" s="1549"/>
      <c r="I123" s="1547"/>
      <c r="J123" s="551"/>
      <c r="K123" s="1547"/>
      <c r="L123" s="1547"/>
      <c r="M123" s="1547"/>
      <c r="N123" s="1547"/>
      <c r="O123" s="1547"/>
      <c r="P123" s="572"/>
      <c r="Q123" s="1547"/>
    </row>
    <row r="124" spans="1:17">
      <c r="A124" s="1549"/>
      <c r="B124" s="1549"/>
      <c r="C124" s="1549"/>
      <c r="D124" s="1549"/>
      <c r="E124" s="1549"/>
      <c r="F124" s="1549"/>
      <c r="G124" s="1549"/>
      <c r="I124" s="551"/>
      <c r="J124" s="551"/>
      <c r="K124" s="1547"/>
      <c r="L124" s="1547"/>
      <c r="M124" s="1547"/>
      <c r="N124" s="1547"/>
      <c r="O124" s="1547"/>
      <c r="P124" s="1547"/>
      <c r="Q124" s="1547"/>
    </row>
    <row r="125" spans="1:17">
      <c r="A125" s="1549"/>
      <c r="B125" s="1549"/>
      <c r="C125" s="1549"/>
      <c r="D125" s="1549"/>
      <c r="E125" s="1549"/>
      <c r="F125" s="1549"/>
      <c r="G125" s="1549"/>
      <c r="I125" s="551"/>
      <c r="J125" s="551"/>
      <c r="K125" s="1547"/>
      <c r="L125" s="1547"/>
      <c r="M125" s="1547"/>
      <c r="N125" s="1547"/>
      <c r="O125" s="1547"/>
      <c r="P125" s="1547"/>
      <c r="Q125" s="1547"/>
    </row>
    <row r="126" spans="1:17">
      <c r="A126" s="1549"/>
      <c r="B126" s="1549"/>
      <c r="C126" s="1549"/>
      <c r="D126" s="1549"/>
      <c r="E126" s="1549"/>
      <c r="F126" s="1549"/>
      <c r="G126" s="1549"/>
      <c r="I126" s="551"/>
      <c r="J126" s="551"/>
      <c r="K126" s="1547"/>
      <c r="L126" s="1547"/>
      <c r="M126" s="1547"/>
      <c r="N126" s="1547"/>
      <c r="O126" s="1547"/>
      <c r="P126" s="1547"/>
    </row>
    <row r="127" spans="1:17">
      <c r="A127" s="1549"/>
      <c r="B127" s="1549"/>
      <c r="C127" s="1549"/>
      <c r="D127" s="1549"/>
      <c r="E127" s="1549"/>
      <c r="F127" s="1549"/>
      <c r="G127" s="1549"/>
      <c r="I127" s="551"/>
      <c r="J127" s="551"/>
      <c r="K127" s="1547"/>
      <c r="L127" s="1547"/>
      <c r="M127" s="1547"/>
      <c r="N127" s="1547"/>
      <c r="O127" s="1547"/>
      <c r="P127" s="1547"/>
      <c r="Q127" s="1547"/>
    </row>
    <row r="128" spans="1:17">
      <c r="A128" s="1549"/>
      <c r="B128" s="1549"/>
      <c r="C128" s="1549"/>
      <c r="D128" s="1549"/>
      <c r="E128" s="1549"/>
      <c r="F128" s="1549"/>
      <c r="G128" s="1549"/>
      <c r="I128" s="551"/>
      <c r="J128" s="551"/>
      <c r="K128" s="1547"/>
      <c r="L128" s="1547"/>
      <c r="M128" s="1547"/>
      <c r="N128" s="1547"/>
      <c r="P128" s="1547"/>
      <c r="Q128" s="568"/>
    </row>
    <row r="129" spans="1:17">
      <c r="A129" s="1549"/>
      <c r="B129" s="1549"/>
      <c r="C129" s="1549"/>
      <c r="D129" s="1549"/>
      <c r="E129" s="1549"/>
      <c r="F129" s="1549"/>
      <c r="G129" s="1549"/>
      <c r="I129" s="551"/>
      <c r="J129" s="551"/>
      <c r="K129" s="1547"/>
      <c r="L129" s="1547"/>
      <c r="M129" s="1547"/>
      <c r="N129" s="1547"/>
      <c r="O129" s="1547"/>
      <c r="P129" s="1547"/>
      <c r="Q129" s="1547"/>
    </row>
    <row r="130" spans="1:17">
      <c r="A130" s="1549"/>
      <c r="B130" s="1549"/>
      <c r="C130" s="1549"/>
      <c r="D130" s="1549"/>
      <c r="E130" s="1549"/>
      <c r="F130" s="1549"/>
      <c r="G130" s="1549"/>
      <c r="I130" s="551"/>
      <c r="J130" s="551"/>
      <c r="K130" s="1547"/>
      <c r="L130" s="1547"/>
      <c r="M130" s="1547"/>
      <c r="N130" s="1547"/>
      <c r="O130" s="1547"/>
      <c r="P130" s="570"/>
      <c r="Q130" s="1547"/>
    </row>
    <row r="131" spans="1:17">
      <c r="A131" s="1549"/>
      <c r="B131" s="1549"/>
      <c r="C131" s="1549"/>
      <c r="D131" s="1549"/>
      <c r="E131" s="1549"/>
      <c r="F131" s="1549"/>
      <c r="G131" s="1549"/>
      <c r="I131" s="551"/>
      <c r="J131" s="551"/>
      <c r="K131" s="1547"/>
      <c r="L131" s="573"/>
      <c r="O131" s="1547"/>
      <c r="Q131" s="1547"/>
    </row>
    <row r="132" spans="1:17">
      <c r="A132" s="1549"/>
      <c r="B132" s="1549"/>
      <c r="C132" s="1549"/>
      <c r="D132" s="1549"/>
      <c r="E132" s="1549"/>
      <c r="F132" s="1549"/>
      <c r="G132" s="1549"/>
      <c r="I132" s="551"/>
      <c r="J132" s="551"/>
      <c r="K132" s="1547"/>
      <c r="L132" s="573"/>
      <c r="M132" s="1547"/>
      <c r="N132" s="560"/>
      <c r="O132" s="1547"/>
    </row>
    <row r="133" spans="1:17">
      <c r="A133" s="1549"/>
      <c r="B133" s="1549"/>
      <c r="C133" s="1549"/>
      <c r="D133" s="1549"/>
      <c r="E133" s="1549"/>
      <c r="F133" s="1549"/>
      <c r="G133" s="1549"/>
      <c r="I133" s="1547"/>
      <c r="J133" s="1547"/>
      <c r="K133" s="573"/>
      <c r="L133" s="1549"/>
      <c r="M133" s="1549"/>
      <c r="N133" s="1549"/>
    </row>
    <row r="134" spans="1:17">
      <c r="A134" s="1549"/>
      <c r="B134" s="1549"/>
      <c r="C134" s="1549"/>
      <c r="D134" s="1549"/>
      <c r="E134" s="1549"/>
      <c r="F134" s="1549"/>
      <c r="I134" s="1547"/>
      <c r="J134" s="1547"/>
      <c r="K134" s="574"/>
      <c r="L134" s="1549"/>
      <c r="M134" s="1549"/>
      <c r="N134" s="1549"/>
    </row>
    <row r="135" spans="1:17">
      <c r="A135" s="1549"/>
      <c r="I135" s="1547"/>
      <c r="J135" s="1547"/>
      <c r="K135" s="1547"/>
      <c r="L135" s="1549"/>
      <c r="M135" s="1549"/>
      <c r="N135" s="1549"/>
    </row>
    <row r="136" spans="1:17">
      <c r="A136" s="1549"/>
      <c r="I136" s="1547"/>
      <c r="J136" s="1547"/>
      <c r="K136" s="1547"/>
      <c r="L136" s="1549"/>
      <c r="M136" s="1549"/>
      <c r="N136" s="1549"/>
    </row>
    <row r="137" spans="1:17">
      <c r="A137" s="1549"/>
      <c r="G137" s="1549"/>
      <c r="I137" s="1547"/>
      <c r="J137" s="1547"/>
      <c r="L137" s="1549"/>
      <c r="M137" s="1549"/>
      <c r="N137" s="1549"/>
    </row>
    <row r="138" spans="1:17">
      <c r="B138" s="1549"/>
      <c r="C138" s="1549"/>
      <c r="D138" s="1549"/>
      <c r="E138" s="1549"/>
      <c r="F138" s="1549"/>
      <c r="G138" s="1549"/>
    </row>
    <row r="139" spans="1:17">
      <c r="B139" s="1549"/>
      <c r="C139" s="1549"/>
      <c r="D139" s="1549"/>
      <c r="E139" s="1549"/>
      <c r="F139" s="1549"/>
      <c r="G139" s="1549"/>
    </row>
    <row r="140" spans="1:17">
      <c r="B140" s="1549"/>
      <c r="C140" s="1549"/>
      <c r="D140" s="1549"/>
      <c r="E140" s="1549"/>
      <c r="F140" s="1549"/>
      <c r="G140" s="1549"/>
    </row>
    <row r="141" spans="1:17">
      <c r="A141" s="1549"/>
      <c r="B141" s="1549"/>
      <c r="C141" s="1549"/>
      <c r="D141" s="1549"/>
      <c r="E141" s="1549"/>
      <c r="F141" s="1549"/>
      <c r="J141" s="1549"/>
      <c r="K141" s="1549"/>
      <c r="L141" s="1549"/>
      <c r="M141" s="1549"/>
      <c r="N141" s="1549"/>
    </row>
    <row r="142" spans="1:17">
      <c r="A142" s="1549"/>
      <c r="J142" s="1549"/>
      <c r="K142" s="1549"/>
      <c r="L142" s="1549"/>
      <c r="M142" s="1549"/>
      <c r="N142" s="1549"/>
    </row>
    <row r="143" spans="1:17">
      <c r="A143" s="1549"/>
      <c r="I143" s="1549"/>
      <c r="J143" s="1549"/>
      <c r="K143" s="1549"/>
      <c r="L143" s="1549"/>
      <c r="M143" s="1549"/>
      <c r="N143" s="1549"/>
    </row>
    <row r="144" spans="1:17">
      <c r="A144" s="1549"/>
      <c r="I144" s="1549"/>
      <c r="J144" s="1549"/>
      <c r="K144" s="1549"/>
      <c r="L144" s="1549"/>
      <c r="M144" s="1549"/>
      <c r="N144" s="1549"/>
    </row>
  </sheetData>
  <pageMargins left="0.6" right="0.25" top="0.6" bottom="0" header="0.5" footer="0.25"/>
  <pageSetup firstPageNumber="4" orientation="landscape" useFirstPageNumber="1" r:id="rId1"/>
  <headerFooter scaleWithDoc="0" alignWithMargins="0">
    <oddFooter>&amp;C&amp;8&amp;P</oddFooter>
  </headerFooter>
  <rowBreaks count="1" manualBreakCount="1">
    <brk id="61" max="15" man="1"/>
  </rowBreaks>
  <ignoredErrors>
    <ignoredError sqref="A6:K3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O61"/>
  <sheetViews>
    <sheetView showGridLines="0" zoomScale="90" workbookViewId="0"/>
  </sheetViews>
  <sheetFormatPr defaultColWidth="8.765625" defaultRowHeight="15.5"/>
  <cols>
    <col min="1" max="1" width="1.765625" style="1221" customWidth="1"/>
    <col min="2" max="2" width="48" style="1221" customWidth="1"/>
    <col min="3" max="3" width="4.53515625" style="1222" customWidth="1"/>
    <col min="4" max="4" width="20.53515625" style="1223" customWidth="1"/>
    <col min="5" max="6" width="1.765625" style="1223" customWidth="1"/>
    <col min="7" max="7" width="19" style="1223" customWidth="1"/>
    <col min="8" max="8" width="8.765625" style="1222"/>
    <col min="9" max="9" width="24.07421875" style="1222" customWidth="1"/>
    <col min="10" max="10" width="8.765625" style="1222"/>
    <col min="11" max="11" width="1.765625" style="1222" customWidth="1"/>
    <col min="12" max="16384" width="8.765625" style="1221"/>
  </cols>
  <sheetData>
    <row r="1" spans="1:36">
      <c r="B1" s="640" t="s">
        <v>885</v>
      </c>
    </row>
    <row r="3" spans="1:36" ht="18">
      <c r="G3" s="1352" t="s">
        <v>508</v>
      </c>
    </row>
    <row r="4" spans="1:36" s="1226" customFormat="1" ht="18" customHeight="1">
      <c r="A4" s="1224"/>
      <c r="B4" s="1947" t="s">
        <v>493</v>
      </c>
      <c r="C4" s="1353"/>
      <c r="D4" s="1353"/>
      <c r="E4" s="1353"/>
      <c r="F4" s="1353"/>
      <c r="G4" s="1353"/>
      <c r="H4" s="1225"/>
      <c r="I4" s="1225"/>
      <c r="J4" s="1225"/>
      <c r="K4" s="1225"/>
    </row>
    <row r="5" spans="1:36" s="1226" customFormat="1" ht="18" customHeight="1">
      <c r="A5" s="1224"/>
      <c r="B5" s="1947" t="s">
        <v>904</v>
      </c>
      <c r="C5" s="1227"/>
      <c r="D5" s="1227"/>
      <c r="E5" s="1227"/>
      <c r="F5" s="1227"/>
      <c r="G5" s="1245"/>
      <c r="H5" s="1225"/>
      <c r="I5" s="1225"/>
      <c r="J5" s="1225"/>
      <c r="K5" s="1225"/>
    </row>
    <row r="6" spans="1:36" s="1226" customFormat="1" ht="18" customHeight="1">
      <c r="A6" s="1224"/>
      <c r="B6" s="1947" t="str">
        <f>'Public Goods '!A6</f>
        <v xml:space="preserve">FISCAL YEAR 2021-2022   </v>
      </c>
      <c r="C6" s="1948"/>
      <c r="D6" s="1948"/>
      <c r="E6" s="1948"/>
      <c r="F6" s="1948"/>
      <c r="G6" s="1353"/>
      <c r="H6" s="1225"/>
      <c r="I6" s="1225"/>
      <c r="J6" s="1225"/>
      <c r="K6" s="1225"/>
    </row>
    <row r="7" spans="1:36" s="1226" customFormat="1" ht="18" customHeight="1">
      <c r="A7" s="1224"/>
      <c r="B7" s="1949"/>
      <c r="C7" s="1950"/>
      <c r="D7" s="1950"/>
      <c r="E7" s="1950"/>
      <c r="F7" s="1950"/>
      <c r="G7" s="1354"/>
      <c r="H7" s="1228"/>
      <c r="I7" s="1225"/>
      <c r="J7" s="1225"/>
      <c r="K7" s="1225"/>
    </row>
    <row r="8" spans="1:36" s="1226" customFormat="1" ht="18" customHeight="1">
      <c r="A8" s="1224"/>
      <c r="B8" s="1949"/>
      <c r="C8" s="1229"/>
      <c r="D8" s="1229"/>
      <c r="E8" s="1229"/>
      <c r="F8" s="1229"/>
      <c r="G8" s="1229"/>
      <c r="H8" s="1228"/>
      <c r="I8" s="1225"/>
      <c r="J8" s="1225"/>
      <c r="K8" s="1225"/>
    </row>
    <row r="9" spans="1:36" s="1235" customFormat="1">
      <c r="A9" s="1230"/>
      <c r="B9" s="1230"/>
      <c r="C9" s="1231"/>
      <c r="D9" s="1627">
        <v>2021</v>
      </c>
      <c r="E9" s="1232"/>
      <c r="F9" s="1232"/>
      <c r="G9" s="1233"/>
      <c r="H9" s="1234"/>
      <c r="I9" s="1234"/>
      <c r="J9" s="1234"/>
      <c r="K9" s="1234"/>
    </row>
    <row r="10" spans="1:36">
      <c r="A10" s="1236"/>
      <c r="B10" s="1236"/>
      <c r="C10" s="1237"/>
      <c r="D10" s="1954" t="s">
        <v>123</v>
      </c>
      <c r="E10" s="1546"/>
      <c r="F10" s="1546"/>
      <c r="G10" s="1238" t="str">
        <f>'Public Goods '!F10</f>
        <v>2021-2022</v>
      </c>
    </row>
    <row r="11" spans="1:36">
      <c r="A11" s="1236"/>
      <c r="B11" s="1236"/>
      <c r="C11" s="1237"/>
      <c r="D11" s="1237"/>
      <c r="E11" s="1239"/>
      <c r="F11" s="1237"/>
      <c r="G11" s="1879"/>
    </row>
    <row r="12" spans="1:36" s="1235" customFormat="1">
      <c r="A12" s="1240"/>
      <c r="B12" s="1240" t="s">
        <v>470</v>
      </c>
      <c r="C12" s="1231"/>
      <c r="D12" s="1241">
        <v>55655.519999999997</v>
      </c>
      <c r="E12" s="1955"/>
      <c r="F12" s="1241"/>
      <c r="G12" s="1242">
        <f>D12</f>
        <v>55655.519999999997</v>
      </c>
      <c r="H12" s="1234"/>
      <c r="I12" s="1234"/>
      <c r="J12" s="1234"/>
      <c r="K12" s="1234"/>
      <c r="L12" s="1243"/>
      <c r="M12" s="1243"/>
      <c r="N12" s="1243"/>
      <c r="O12" s="1243"/>
      <c r="P12" s="1243"/>
      <c r="Q12" s="1243"/>
      <c r="R12" s="1243"/>
      <c r="S12" s="1243"/>
      <c r="T12" s="1243"/>
      <c r="U12" s="1243"/>
      <c r="V12" s="1243"/>
      <c r="W12" s="1244"/>
      <c r="X12" s="1244"/>
      <c r="Y12" s="1244"/>
      <c r="Z12" s="1244"/>
      <c r="AA12" s="1244"/>
      <c r="AB12" s="1244"/>
      <c r="AC12" s="1244"/>
      <c r="AD12" s="1244"/>
      <c r="AE12" s="1244"/>
      <c r="AF12" s="1244"/>
      <c r="AG12" s="1244"/>
      <c r="AH12" s="1244"/>
      <c r="AI12" s="1244"/>
      <c r="AJ12" s="1244"/>
    </row>
    <row r="13" spans="1:36" s="1235" customFormat="1">
      <c r="A13" s="1240"/>
      <c r="B13" s="1240"/>
      <c r="C13" s="1231"/>
      <c r="D13" s="1241"/>
      <c r="E13" s="1955"/>
      <c r="F13" s="1241"/>
      <c r="G13" s="1242"/>
      <c r="H13" s="1234"/>
      <c r="I13" s="1234"/>
      <c r="J13" s="1234"/>
      <c r="K13" s="1234"/>
      <c r="L13" s="1243"/>
      <c r="M13" s="1243"/>
      <c r="N13" s="1243"/>
      <c r="O13" s="1243"/>
      <c r="P13" s="1243"/>
      <c r="Q13" s="1243"/>
      <c r="R13" s="1243"/>
      <c r="S13" s="1243"/>
      <c r="T13" s="1243"/>
      <c r="U13" s="1243"/>
      <c r="V13" s="1243"/>
      <c r="W13" s="1244"/>
      <c r="X13" s="1244"/>
      <c r="Y13" s="1244"/>
      <c r="Z13" s="1244"/>
      <c r="AA13" s="1244"/>
      <c r="AB13" s="1244"/>
      <c r="AC13" s="1244"/>
      <c r="AD13" s="1244"/>
      <c r="AE13" s="1244"/>
      <c r="AF13" s="1244"/>
      <c r="AG13" s="1244"/>
      <c r="AH13" s="1244"/>
      <c r="AI13" s="1244"/>
      <c r="AJ13" s="1244"/>
    </row>
    <row r="14" spans="1:36">
      <c r="A14" s="1236"/>
      <c r="B14" s="1240" t="s">
        <v>13</v>
      </c>
      <c r="C14" s="1237"/>
      <c r="D14" s="1237"/>
      <c r="E14" s="1956"/>
      <c r="F14" s="1237"/>
      <c r="G14" s="1239"/>
    </row>
    <row r="15" spans="1:36">
      <c r="A15" s="1236"/>
      <c r="B15" s="1245" t="s">
        <v>514</v>
      </c>
      <c r="C15" s="1237"/>
      <c r="D15" s="1246">
        <v>29.82</v>
      </c>
      <c r="E15" s="1957"/>
      <c r="F15" s="1246"/>
      <c r="G15" s="1247">
        <f>ROUND(SUM(D15:F15),2)</f>
        <v>29.82</v>
      </c>
    </row>
    <row r="16" spans="1:36" s="1235" customFormat="1">
      <c r="A16" s="1240"/>
      <c r="B16" s="1240" t="s">
        <v>149</v>
      </c>
      <c r="C16" s="1231"/>
      <c r="D16" s="1880">
        <f>ROUND(SUM(D15:D15),2)</f>
        <v>29.82</v>
      </c>
      <c r="E16" s="1958"/>
      <c r="F16" s="1248"/>
      <c r="G16" s="1880">
        <f>ROUND(SUM(G15:G15),2)</f>
        <v>29.82</v>
      </c>
      <c r="H16" s="1234"/>
      <c r="I16" s="1234"/>
      <c r="J16" s="1234"/>
      <c r="K16" s="1234"/>
    </row>
    <row r="17" spans="1:16">
      <c r="A17" s="1236"/>
      <c r="B17" s="1236"/>
      <c r="C17" s="1237"/>
      <c r="D17" s="1246"/>
      <c r="E17" s="1957"/>
      <c r="F17" s="1246"/>
      <c r="G17" s="1881"/>
    </row>
    <row r="18" spans="1:16">
      <c r="A18" s="1236"/>
      <c r="B18" s="1240" t="s">
        <v>855</v>
      </c>
      <c r="C18" s="1237"/>
      <c r="D18" s="1246"/>
      <c r="E18" s="1957"/>
      <c r="F18" s="1246"/>
      <c r="G18" s="1247"/>
    </row>
    <row r="19" spans="1:16">
      <c r="A19" s="1236"/>
      <c r="B19" s="1245" t="s">
        <v>532</v>
      </c>
      <c r="C19" s="1237"/>
      <c r="D19" s="1246">
        <v>-52898838.240000002</v>
      </c>
      <c r="E19" s="1957"/>
      <c r="F19" s="1246"/>
      <c r="G19" s="1247">
        <f>ROUND(SUM(D19:F19),2)</f>
        <v>-52898838.240000002</v>
      </c>
    </row>
    <row r="20" spans="1:16">
      <c r="A20" s="1236"/>
      <c r="B20" s="1245" t="s">
        <v>533</v>
      </c>
      <c r="C20" s="1237"/>
      <c r="D20" s="1246">
        <v>0</v>
      </c>
      <c r="E20" s="1957"/>
      <c r="F20" s="1246"/>
      <c r="G20" s="1247">
        <f>ROUND(SUM(D20:F20),2)</f>
        <v>0</v>
      </c>
    </row>
    <row r="21" spans="1:16">
      <c r="A21" s="1236"/>
      <c r="B21" s="1245" t="s">
        <v>534</v>
      </c>
      <c r="C21" s="1237"/>
      <c r="D21" s="1246">
        <v>-31119.03</v>
      </c>
      <c r="E21" s="1957"/>
      <c r="F21" s="1246"/>
      <c r="G21" s="1247">
        <f>ROUND(SUM(D21:F21),2)</f>
        <v>-31119.03</v>
      </c>
    </row>
    <row r="22" spans="1:16" s="1235" customFormat="1">
      <c r="A22" s="1240"/>
      <c r="B22" s="1249" t="s">
        <v>872</v>
      </c>
      <c r="C22" s="1231"/>
      <c r="D22" s="1882">
        <f>ROUND(SUM(D18:D21),2)</f>
        <v>-52929957.270000003</v>
      </c>
      <c r="E22" s="1958"/>
      <c r="F22" s="1248"/>
      <c r="G22" s="1882">
        <f>ROUND(SUM(G18:G21),2)</f>
        <v>-52929957.270000003</v>
      </c>
      <c r="H22" s="1234"/>
      <c r="I22" s="1234"/>
      <c r="J22" s="1234"/>
      <c r="K22" s="1234"/>
    </row>
    <row r="23" spans="1:16">
      <c r="A23" s="1236"/>
      <c r="B23" s="1250"/>
      <c r="C23" s="1237"/>
      <c r="D23" s="1881"/>
      <c r="E23" s="1957"/>
      <c r="F23" s="1247"/>
      <c r="G23" s="1881"/>
    </row>
    <row r="24" spans="1:16" s="1235" customFormat="1">
      <c r="A24" s="1240"/>
      <c r="B24" s="1240" t="s">
        <v>1121</v>
      </c>
      <c r="C24" s="1231"/>
      <c r="D24" s="1251">
        <f>ROUND(+D16+D22,2)</f>
        <v>-52929927.450000003</v>
      </c>
      <c r="E24" s="1960"/>
      <c r="F24" s="1251"/>
      <c r="G24" s="1251">
        <f>ROUND(+G16+G22,2)</f>
        <v>-52929927.450000003</v>
      </c>
      <c r="H24" s="1234"/>
      <c r="I24" s="1234"/>
      <c r="J24" s="1234"/>
      <c r="K24" s="1234"/>
    </row>
    <row r="25" spans="1:16">
      <c r="A25" s="1236"/>
      <c r="B25" s="1236"/>
      <c r="C25" s="1237"/>
      <c r="D25" s="1881"/>
      <c r="E25" s="1957"/>
      <c r="F25" s="1247"/>
      <c r="G25" s="1881"/>
      <c r="H25" s="1223"/>
      <c r="I25" s="1223"/>
      <c r="J25" s="1223"/>
      <c r="K25" s="1223"/>
      <c r="L25" s="1252"/>
      <c r="M25" s="1252"/>
      <c r="N25" s="1252"/>
      <c r="O25" s="1252"/>
      <c r="P25" s="1252"/>
    </row>
    <row r="26" spans="1:16">
      <c r="A26" s="1236"/>
      <c r="B26" s="1240" t="s">
        <v>45</v>
      </c>
      <c r="C26" s="1237"/>
      <c r="D26" s="1246"/>
      <c r="E26" s="1957"/>
      <c r="F26" s="1246"/>
      <c r="G26" s="1247"/>
      <c r="H26" s="1223"/>
      <c r="I26" s="1223"/>
      <c r="J26" s="1223"/>
      <c r="K26" s="1223"/>
      <c r="L26" s="1252"/>
      <c r="M26" s="1252"/>
      <c r="N26" s="1252"/>
      <c r="O26" s="1252"/>
      <c r="P26" s="1252"/>
    </row>
    <row r="27" spans="1:16">
      <c r="A27" s="1236"/>
      <c r="B27" s="1240" t="s">
        <v>801</v>
      </c>
      <c r="C27" s="1237"/>
      <c r="D27" s="1246"/>
      <c r="E27" s="1957"/>
      <c r="F27" s="1246"/>
      <c r="G27" s="1247"/>
      <c r="H27" s="1223"/>
      <c r="I27" s="1223"/>
      <c r="J27" s="1223"/>
      <c r="K27" s="1223"/>
      <c r="L27" s="1252"/>
      <c r="M27" s="1252"/>
      <c r="N27" s="1252"/>
      <c r="O27" s="1252"/>
      <c r="P27" s="1252"/>
    </row>
    <row r="28" spans="1:16">
      <c r="A28" s="1236"/>
      <c r="B28" s="1245" t="s">
        <v>535</v>
      </c>
      <c r="C28" s="1237"/>
      <c r="D28" s="1246">
        <v>0</v>
      </c>
      <c r="E28" s="1957"/>
      <c r="F28" s="1246"/>
      <c r="G28" s="1247">
        <f>ROUND(SUM(D28:F28),2)</f>
        <v>0</v>
      </c>
      <c r="H28" s="1223"/>
      <c r="I28" s="1223"/>
      <c r="J28" s="1223"/>
      <c r="K28" s="1223"/>
      <c r="L28" s="1252"/>
      <c r="M28" s="1252"/>
      <c r="N28" s="1252"/>
      <c r="O28" s="1252"/>
      <c r="P28" s="1252"/>
    </row>
    <row r="29" spans="1:16">
      <c r="A29" s="1236"/>
      <c r="B29" s="1245" t="s">
        <v>525</v>
      </c>
      <c r="C29" s="1237"/>
      <c r="D29" s="1246">
        <v>0</v>
      </c>
      <c r="E29" s="1957"/>
      <c r="F29" s="1246"/>
      <c r="G29" s="1247">
        <f>ROUND(SUM(D29:F29),2)</f>
        <v>0</v>
      </c>
      <c r="H29" s="1223"/>
      <c r="I29" s="1223"/>
      <c r="J29" s="1223"/>
      <c r="K29" s="1223"/>
      <c r="L29" s="1252"/>
      <c r="M29" s="1252"/>
      <c r="N29" s="1252"/>
      <c r="O29" s="1252"/>
      <c r="P29" s="1252"/>
    </row>
    <row r="30" spans="1:16">
      <c r="A30" s="1236"/>
      <c r="B30" s="1240" t="s">
        <v>522</v>
      </c>
      <c r="C30" s="1237"/>
      <c r="D30" s="1246"/>
      <c r="E30" s="1957"/>
      <c r="F30" s="1246"/>
      <c r="G30" s="1247"/>
      <c r="H30" s="1223"/>
      <c r="I30" s="1223"/>
      <c r="J30" s="1223"/>
      <c r="K30" s="1223"/>
      <c r="L30" s="1252"/>
      <c r="M30" s="1252"/>
      <c r="N30" s="1252"/>
      <c r="O30" s="1252"/>
      <c r="P30" s="1252"/>
    </row>
    <row r="31" spans="1:16">
      <c r="A31" s="1236"/>
      <c r="B31" s="1245" t="s">
        <v>536</v>
      </c>
      <c r="C31" s="1237"/>
      <c r="D31" s="1253">
        <v>23169691.150000002</v>
      </c>
      <c r="E31" s="1961"/>
      <c r="F31" s="1246"/>
      <c r="G31" s="1247">
        <f>ROUND(SUM(D31:F31),2)</f>
        <v>23169691.149999999</v>
      </c>
      <c r="H31" s="1223"/>
      <c r="I31" s="1223"/>
      <c r="J31" s="1223"/>
      <c r="K31" s="1223"/>
      <c r="L31" s="1252"/>
      <c r="M31" s="1252"/>
      <c r="N31" s="1252"/>
      <c r="O31" s="1252"/>
      <c r="P31" s="1252"/>
    </row>
    <row r="32" spans="1:16">
      <c r="A32" s="1236"/>
      <c r="B32" s="1245" t="s">
        <v>537</v>
      </c>
      <c r="C32" s="1237"/>
      <c r="D32" s="1253">
        <v>1019927.37</v>
      </c>
      <c r="E32" s="1961"/>
      <c r="F32" s="1246"/>
      <c r="G32" s="1247">
        <f>ROUND(SUM(D32:F32),2)</f>
        <v>1019927.37</v>
      </c>
      <c r="H32" s="1223"/>
      <c r="I32" s="1223"/>
      <c r="J32" s="1223"/>
      <c r="K32" s="1223"/>
      <c r="L32" s="1252"/>
      <c r="M32" s="1252"/>
      <c r="N32" s="1252"/>
      <c r="O32" s="1252"/>
      <c r="P32" s="1252"/>
    </row>
    <row r="33" spans="1:41">
      <c r="A33" s="1236"/>
      <c r="B33" s="1245" t="s">
        <v>538</v>
      </c>
      <c r="C33" s="1237"/>
      <c r="D33" s="1253">
        <v>29729147.09</v>
      </c>
      <c r="E33" s="1961"/>
      <c r="F33" s="1246"/>
      <c r="G33" s="1247">
        <f>ROUND(SUM(D33:F33),2)</f>
        <v>29729147.09</v>
      </c>
      <c r="H33" s="1223"/>
      <c r="I33" s="1223"/>
      <c r="J33" s="1223"/>
      <c r="K33" s="1223"/>
      <c r="L33" s="1252"/>
      <c r="M33" s="1252"/>
      <c r="N33" s="1252"/>
      <c r="O33" s="1252"/>
      <c r="P33" s="1252"/>
    </row>
    <row r="34" spans="1:41">
      <c r="A34" s="1236"/>
      <c r="B34" s="1245" t="s">
        <v>534</v>
      </c>
      <c r="C34" s="1237"/>
      <c r="D34" s="1962">
        <v>0</v>
      </c>
      <c r="E34" s="1961"/>
      <c r="F34" s="1253"/>
      <c r="G34" s="1247">
        <f>ROUND(SUM(D34:F34),2)</f>
        <v>0</v>
      </c>
      <c r="H34" s="1223"/>
      <c r="I34" s="1223"/>
      <c r="J34" s="1223"/>
      <c r="K34" s="1223"/>
      <c r="L34" s="1252"/>
      <c r="M34" s="1252"/>
      <c r="N34" s="1252"/>
      <c r="O34" s="1252"/>
      <c r="P34" s="1252"/>
    </row>
    <row r="35" spans="1:41" s="1235" customFormat="1">
      <c r="A35" s="1240"/>
      <c r="B35" s="1240" t="s">
        <v>524</v>
      </c>
      <c r="C35" s="1231"/>
      <c r="D35" s="1883">
        <f>ROUND(SUM(D28:D34),2)</f>
        <v>53918765.609999999</v>
      </c>
      <c r="E35" s="1958"/>
      <c r="F35" s="1248"/>
      <c r="G35" s="1883">
        <f>ROUND(SUM(G28:G34),2)</f>
        <v>53918765.609999999</v>
      </c>
      <c r="H35" s="1254"/>
      <c r="I35" s="1254"/>
      <c r="J35" s="1254"/>
      <c r="K35" s="1254"/>
      <c r="L35" s="1255"/>
      <c r="M35" s="1255"/>
      <c r="N35" s="1255"/>
      <c r="O35" s="1255"/>
      <c r="P35" s="1255"/>
    </row>
    <row r="36" spans="1:41">
      <c r="A36" s="1236"/>
      <c r="B36" s="1236"/>
      <c r="C36" s="1237"/>
      <c r="D36" s="1246"/>
      <c r="E36" s="1957"/>
      <c r="F36" s="1246"/>
      <c r="G36" s="1247"/>
      <c r="H36" s="1223"/>
      <c r="I36" s="1223"/>
      <c r="J36" s="1223"/>
      <c r="K36" s="1223"/>
      <c r="L36" s="1252"/>
      <c r="M36" s="1252"/>
      <c r="N36" s="1252"/>
      <c r="O36" s="1252"/>
      <c r="P36" s="1252"/>
    </row>
    <row r="37" spans="1:41">
      <c r="A37" s="1236"/>
      <c r="B37" s="1240" t="s">
        <v>853</v>
      </c>
      <c r="C37" s="1237"/>
      <c r="D37" s="1246"/>
      <c r="E37" s="1957"/>
      <c r="F37" s="1246"/>
      <c r="G37" s="1247"/>
      <c r="H37" s="1223"/>
      <c r="I37" s="1223"/>
      <c r="J37" s="1223"/>
      <c r="K37" s="1223"/>
      <c r="L37" s="1252"/>
      <c r="M37" s="1252"/>
      <c r="N37" s="1252"/>
      <c r="O37" s="1252"/>
      <c r="P37" s="1252"/>
    </row>
    <row r="38" spans="1:41">
      <c r="A38" s="1236"/>
      <c r="B38" s="1236" t="s">
        <v>535</v>
      </c>
      <c r="C38" s="1237"/>
      <c r="D38" s="1256">
        <v>0</v>
      </c>
      <c r="E38" s="1963"/>
      <c r="F38" s="1256"/>
      <c r="G38" s="1247">
        <f>ROUND(SUM(D38:F38),2)</f>
        <v>0</v>
      </c>
      <c r="H38" s="1223"/>
      <c r="I38" s="1223"/>
      <c r="J38" s="1223"/>
      <c r="K38" s="1223"/>
      <c r="L38" s="1252"/>
      <c r="M38" s="1252"/>
      <c r="N38" s="1252"/>
      <c r="O38" s="1252"/>
      <c r="P38" s="1252"/>
    </row>
    <row r="39" spans="1:41">
      <c r="A39" s="1236"/>
      <c r="B39" s="1236" t="s">
        <v>525</v>
      </c>
      <c r="C39" s="1237"/>
      <c r="D39" s="1247">
        <v>0</v>
      </c>
      <c r="E39" s="1957"/>
      <c r="F39" s="1247"/>
      <c r="G39" s="1247">
        <f>ROUND(SUM(D39:F39),2)</f>
        <v>0</v>
      </c>
      <c r="H39" s="1223"/>
      <c r="I39" s="1223"/>
      <c r="J39" s="1223"/>
      <c r="K39" s="1223"/>
      <c r="L39" s="1252"/>
      <c r="M39" s="1252"/>
      <c r="N39" s="1252"/>
      <c r="O39" s="1252"/>
      <c r="P39" s="1252"/>
    </row>
    <row r="40" spans="1:41">
      <c r="A40" s="1236"/>
      <c r="B40" s="1240" t="s">
        <v>854</v>
      </c>
      <c r="C40" s="1237"/>
      <c r="D40" s="1246"/>
      <c r="E40" s="1957"/>
      <c r="F40" s="1246"/>
      <c r="G40" s="1247"/>
      <c r="H40" s="1223"/>
      <c r="I40" s="1223"/>
      <c r="J40" s="1223"/>
      <c r="K40" s="1223"/>
      <c r="L40" s="1252"/>
      <c r="M40" s="1252"/>
      <c r="N40" s="1252"/>
      <c r="O40" s="1252"/>
      <c r="P40" s="1252"/>
    </row>
    <row r="41" spans="1:41">
      <c r="A41" s="1236"/>
      <c r="B41" s="1245" t="s">
        <v>539</v>
      </c>
      <c r="C41" s="1237"/>
      <c r="D41" s="1247">
        <v>-82.34</v>
      </c>
      <c r="E41" s="1957"/>
      <c r="F41" s="1246"/>
      <c r="G41" s="1247">
        <f>ROUND(SUM(D41:F41),2)</f>
        <v>-82.34</v>
      </c>
      <c r="H41" s="1223"/>
      <c r="I41" s="1223"/>
      <c r="J41" s="1223"/>
      <c r="K41" s="1223"/>
      <c r="L41" s="1252"/>
      <c r="M41" s="1252"/>
      <c r="N41" s="1252"/>
      <c r="O41" s="1252"/>
      <c r="P41" s="1252"/>
    </row>
    <row r="42" spans="1:41">
      <c r="A42" s="1236"/>
      <c r="B42" s="3841" t="s">
        <v>1402</v>
      </c>
      <c r="C42" s="1237"/>
      <c r="D42" s="1964">
        <v>-5968.5</v>
      </c>
      <c r="E42" s="1957"/>
      <c r="F42" s="1246"/>
      <c r="G42" s="1247">
        <f t="shared" ref="G42" si="0">ROUND(SUM(D42:F42),2)</f>
        <v>-5968.5</v>
      </c>
      <c r="H42" s="1223"/>
      <c r="I42" s="1223"/>
      <c r="J42" s="1223"/>
      <c r="K42" s="1223"/>
      <c r="L42" s="1252"/>
      <c r="M42" s="1252"/>
      <c r="N42" s="1252"/>
      <c r="O42" s="1252"/>
      <c r="P42" s="1252"/>
    </row>
    <row r="43" spans="1:41" s="1235" customFormat="1">
      <c r="A43" s="1240"/>
      <c r="B43" s="1240" t="s">
        <v>526</v>
      </c>
      <c r="C43" s="1231"/>
      <c r="D43" s="1883">
        <f>SUM(D38:D42)</f>
        <v>-6050.84</v>
      </c>
      <c r="E43" s="1958"/>
      <c r="F43" s="1248"/>
      <c r="G43" s="1883">
        <f>SUM(G38:G42)</f>
        <v>-6050.84</v>
      </c>
      <c r="H43" s="1254"/>
      <c r="I43" s="1254"/>
      <c r="J43" s="1254"/>
      <c r="K43" s="1254"/>
      <c r="L43" s="1255"/>
      <c r="M43" s="1255"/>
      <c r="N43" s="1255"/>
      <c r="O43" s="1255"/>
      <c r="P43" s="1255"/>
    </row>
    <row r="44" spans="1:41">
      <c r="A44" s="1236"/>
      <c r="B44" s="1236"/>
      <c r="C44" s="1237"/>
      <c r="D44" s="1246"/>
      <c r="E44" s="1957"/>
      <c r="F44" s="1246"/>
      <c r="G44" s="1247"/>
      <c r="H44" s="1223"/>
      <c r="I44" s="1223"/>
      <c r="J44" s="1223"/>
      <c r="K44" s="1223"/>
      <c r="L44" s="1252"/>
      <c r="M44" s="1252"/>
      <c r="N44" s="1252"/>
      <c r="O44" s="1252"/>
      <c r="P44" s="1252"/>
    </row>
    <row r="45" spans="1:41">
      <c r="A45" s="1236"/>
      <c r="B45" s="1240" t="s">
        <v>540</v>
      </c>
      <c r="C45" s="1237"/>
      <c r="D45" s="1246"/>
      <c r="E45" s="1957"/>
      <c r="F45" s="1246"/>
      <c r="G45" s="1247"/>
      <c r="H45" s="1223"/>
      <c r="I45" s="1223"/>
      <c r="J45" s="1223"/>
      <c r="K45" s="1223"/>
      <c r="L45" s="1252"/>
      <c r="M45" s="1252"/>
      <c r="N45" s="1252"/>
      <c r="O45" s="1252"/>
      <c r="P45" s="1252"/>
    </row>
    <row r="46" spans="1:41">
      <c r="A46" s="1236"/>
      <c r="B46" s="1240" t="s">
        <v>541</v>
      </c>
      <c r="C46" s="1237"/>
      <c r="D46" s="1959">
        <f>ROUND(+D24+D35+D43,2)</f>
        <v>982787.32</v>
      </c>
      <c r="E46" s="1960"/>
      <c r="F46" s="1251"/>
      <c r="G46" s="1959">
        <f>ROUND(+G24+G35+G43,2)</f>
        <v>982787.32</v>
      </c>
      <c r="H46" s="1223"/>
      <c r="I46" s="1223"/>
      <c r="J46" s="1223"/>
      <c r="K46" s="1223"/>
      <c r="L46" s="1252"/>
      <c r="M46" s="1252"/>
      <c r="N46" s="1252"/>
      <c r="O46" s="1252"/>
      <c r="P46" s="1252"/>
    </row>
    <row r="47" spans="1:41">
      <c r="A47" s="1236"/>
      <c r="B47" s="1236"/>
      <c r="C47" s="1237"/>
      <c r="D47" s="1237"/>
      <c r="E47" s="1956"/>
      <c r="F47" s="1237"/>
      <c r="G47" s="1257"/>
      <c r="H47" s="1223"/>
      <c r="I47" s="1223"/>
      <c r="J47" s="1223"/>
      <c r="K47" s="1223"/>
      <c r="L47" s="1252"/>
      <c r="M47" s="1252"/>
      <c r="N47" s="1252"/>
      <c r="O47" s="1252"/>
      <c r="P47" s="1252"/>
    </row>
    <row r="48" spans="1:41" s="1235" customFormat="1" ht="16" thickBot="1">
      <c r="A48" s="1240"/>
      <c r="B48" s="1240" t="s">
        <v>529</v>
      </c>
      <c r="C48" s="1258"/>
      <c r="D48" s="1884">
        <f>ROUND(D12+D46,2)</f>
        <v>1038442.84</v>
      </c>
      <c r="E48" s="1965"/>
      <c r="F48" s="1259"/>
      <c r="G48" s="1884">
        <f>ROUND(G12+G46,2)</f>
        <v>1038442.84</v>
      </c>
      <c r="H48" s="1234"/>
      <c r="I48" s="1234"/>
      <c r="J48" s="1234"/>
      <c r="K48" s="1234"/>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row>
    <row r="49" spans="1:7" ht="16" thickTop="1">
      <c r="A49" s="1236"/>
      <c r="B49" s="1236" t="s">
        <v>14</v>
      </c>
      <c r="C49" s="1237"/>
      <c r="D49" s="1237"/>
      <c r="E49" s="1237"/>
      <c r="F49" s="1237"/>
      <c r="G49" s="1237"/>
    </row>
    <row r="50" spans="1:7">
      <c r="B50" s="1261" t="s">
        <v>530</v>
      </c>
    </row>
    <row r="51" spans="1:7">
      <c r="B51" s="1262"/>
    </row>
    <row r="59" spans="1:7">
      <c r="B59" s="1263"/>
      <c r="C59" s="1264"/>
      <c r="D59" s="1264"/>
      <c r="E59" s="1264"/>
      <c r="F59" s="1264"/>
    </row>
    <row r="61" spans="1:7">
      <c r="B61" s="1265"/>
      <c r="C61" s="1234"/>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workbookViewId="0"/>
  </sheetViews>
  <sheetFormatPr defaultColWidth="8.765625" defaultRowHeight="12.5"/>
  <cols>
    <col min="1" max="1" width="54.765625" style="413" customWidth="1"/>
    <col min="2" max="2" width="1.765625" style="413" customWidth="1"/>
    <col min="3" max="3" width="10.765625" style="413" customWidth="1"/>
    <col min="4" max="4" width="1.765625" style="413" customWidth="1"/>
    <col min="5" max="5" width="10.765625" style="413" customWidth="1"/>
    <col min="6" max="6" width="1.765625" style="413" customWidth="1"/>
    <col min="7" max="7" width="10.765625" style="413" customWidth="1"/>
    <col min="8" max="8" width="1.765625" style="413" customWidth="1"/>
    <col min="9" max="9" width="10.765625" style="413" customWidth="1"/>
    <col min="10" max="10" width="1.765625" style="413" customWidth="1"/>
    <col min="11" max="11" width="10.765625" style="413" customWidth="1"/>
    <col min="12" max="12" width="1.765625" style="413" customWidth="1"/>
    <col min="13" max="13" width="14.765625" style="413" bestFit="1" customWidth="1"/>
    <col min="14" max="14" width="1.765625" style="413" customWidth="1"/>
    <col min="15" max="15" width="10.765625" style="413" customWidth="1"/>
    <col min="16" max="16" width="1.765625" style="413" customWidth="1"/>
    <col min="17" max="17" width="13.53515625" style="413" bestFit="1" customWidth="1"/>
    <col min="18" max="18" width="1.765625" style="413" customWidth="1"/>
    <col min="19" max="19" width="13.53515625" style="413" bestFit="1" customWidth="1"/>
    <col min="20" max="20" width="1.765625" style="413" customWidth="1"/>
    <col min="21" max="21" width="11" style="413" customWidth="1"/>
    <col min="22" max="22" width="1.765625" style="413" customWidth="1"/>
    <col min="23" max="23" width="10.765625" style="413" customWidth="1"/>
    <col min="24" max="24" width="1.765625" style="413" customWidth="1"/>
    <col min="25" max="25" width="10.765625" style="413" customWidth="1"/>
    <col min="26" max="26" width="1.765625" style="413" customWidth="1"/>
    <col min="27" max="27" width="14.07421875" style="417" customWidth="1"/>
    <col min="28" max="28" width="3.765625" style="413" customWidth="1"/>
    <col min="29" max="29" width="5.765625" style="413" customWidth="1"/>
    <col min="30" max="30" width="10.07421875" style="413" customWidth="1"/>
    <col min="31" max="31" width="2.765625" style="413" customWidth="1"/>
    <col min="32" max="16384" width="8.765625" style="413"/>
  </cols>
  <sheetData>
    <row r="1" spans="1:29" ht="15.5">
      <c r="A1" s="640" t="s">
        <v>885</v>
      </c>
    </row>
    <row r="2" spans="1:29" ht="20">
      <c r="A2" s="410"/>
      <c r="B2" s="1214"/>
      <c r="C2" s="1214"/>
      <c r="D2" s="1214"/>
      <c r="E2" s="1214"/>
      <c r="F2" s="1214"/>
      <c r="G2" s="1214"/>
      <c r="H2" s="1214"/>
      <c r="I2" s="1214"/>
      <c r="J2" s="1214"/>
      <c r="K2" s="1214"/>
      <c r="L2" s="411"/>
      <c r="M2" s="411"/>
      <c r="N2" s="1214"/>
      <c r="O2" s="1214"/>
      <c r="P2" s="1214"/>
      <c r="Q2" s="1214"/>
      <c r="R2" s="1214"/>
      <c r="S2" s="1214"/>
      <c r="T2" s="1214"/>
      <c r="U2" s="1214"/>
      <c r="V2" s="1214"/>
      <c r="W2" s="1214"/>
      <c r="X2" s="1214"/>
      <c r="Y2" s="1214"/>
      <c r="Z2" s="1214"/>
      <c r="AA2" s="1215"/>
      <c r="AB2" s="1214"/>
      <c r="AC2" s="412"/>
    </row>
    <row r="3" spans="1:29" ht="15.5">
      <c r="A3"/>
      <c r="B3" s="641"/>
      <c r="C3" s="641"/>
      <c r="D3" s="641"/>
      <c r="E3" s="641"/>
      <c r="F3" s="641"/>
      <c r="G3" s="641"/>
      <c r="H3" s="641"/>
      <c r="I3" s="641"/>
      <c r="J3" s="641"/>
      <c r="K3" s="641"/>
      <c r="L3"/>
      <c r="M3" s="641"/>
      <c r="N3" s="641"/>
      <c r="O3" s="641"/>
      <c r="P3" s="641"/>
      <c r="Q3" s="641"/>
      <c r="R3" s="641"/>
      <c r="S3" s="641"/>
      <c r="T3" s="641"/>
      <c r="U3" s="641"/>
      <c r="V3" s="641"/>
      <c r="W3" s="641"/>
      <c r="X3" s="641"/>
      <c r="Y3" s="641"/>
      <c r="Z3" s="641"/>
      <c r="AA3" s="413"/>
      <c r="AB3" s="1214"/>
      <c r="AC3" s="412"/>
    </row>
    <row r="4" spans="1:29" ht="20">
      <c r="A4" s="647" t="s">
        <v>0</v>
      </c>
      <c r="B4" s="641"/>
      <c r="C4" s="641"/>
      <c r="D4" s="641"/>
      <c r="E4" s="641"/>
      <c r="F4" s="641"/>
      <c r="G4" s="641"/>
      <c r="H4" s="641"/>
      <c r="I4" s="641"/>
      <c r="J4" s="641"/>
      <c r="K4" s="641"/>
      <c r="L4"/>
      <c r="M4" s="641"/>
      <c r="N4" s="641"/>
      <c r="O4" s="641"/>
      <c r="P4" s="641"/>
      <c r="Q4" s="641"/>
      <c r="R4" s="641"/>
      <c r="S4" s="641"/>
      <c r="T4" s="641"/>
      <c r="U4" s="641"/>
      <c r="V4" s="641"/>
      <c r="W4" s="641"/>
      <c r="X4" s="641"/>
      <c r="Y4" s="641"/>
      <c r="Z4" s="641"/>
      <c r="AA4" s="1216" t="s">
        <v>531</v>
      </c>
      <c r="AB4" s="1214"/>
      <c r="AC4" s="412"/>
    </row>
    <row r="5" spans="1:29" s="412" customFormat="1" ht="18">
      <c r="A5" s="647" t="s">
        <v>543</v>
      </c>
      <c r="B5" s="642"/>
      <c r="C5" s="642"/>
      <c r="D5" s="642"/>
      <c r="E5" s="642"/>
      <c r="F5" s="642"/>
      <c r="G5" s="642"/>
      <c r="H5" s="642"/>
      <c r="I5" s="642"/>
      <c r="J5" s="641"/>
      <c r="K5" s="641"/>
      <c r="L5" s="641"/>
      <c r="M5" s="641"/>
      <c r="N5" s="641"/>
      <c r="O5" s="641"/>
      <c r="P5" s="641"/>
      <c r="Q5" s="641"/>
      <c r="R5" s="641"/>
      <c r="S5" s="641"/>
      <c r="T5" s="641"/>
      <c r="U5" s="641"/>
      <c r="V5" s="641"/>
      <c r="W5" s="641"/>
      <c r="X5" s="641"/>
      <c r="Y5" s="641"/>
      <c r="Z5" s="641"/>
      <c r="AA5" s="641"/>
      <c r="AB5" s="1214"/>
    </row>
    <row r="6" spans="1:29" s="412" customFormat="1" ht="18">
      <c r="A6" s="227" t="str">
        <f>'Exh D-Governmental  '!A5:E5</f>
        <v>FISCAL YEAR 2021-2022</v>
      </c>
      <c r="B6" s="642"/>
      <c r="C6" s="642"/>
      <c r="D6" s="642"/>
      <c r="E6" s="642"/>
      <c r="F6" s="642"/>
      <c r="G6" s="642"/>
      <c r="H6" s="642"/>
      <c r="I6" s="642"/>
      <c r="J6" s="641"/>
      <c r="K6" s="641"/>
      <c r="L6" s="641"/>
      <c r="M6" s="641"/>
      <c r="N6" s="641"/>
      <c r="O6" s="641"/>
      <c r="P6" s="641"/>
      <c r="Q6" s="641"/>
      <c r="R6" s="641"/>
      <c r="S6" s="641"/>
      <c r="T6" s="641"/>
      <c r="U6" s="641"/>
      <c r="V6" s="641"/>
      <c r="W6" s="641"/>
      <c r="X6" s="641"/>
      <c r="Y6" s="641"/>
      <c r="Z6" s="641"/>
      <c r="AA6" s="641"/>
      <c r="AB6" s="1214"/>
    </row>
    <row r="7" spans="1:29" s="412" customFormat="1" ht="18">
      <c r="A7" s="647" t="s">
        <v>1285</v>
      </c>
      <c r="B7" s="643"/>
      <c r="C7" s="643"/>
      <c r="D7" s="643"/>
      <c r="E7" s="643"/>
      <c r="F7" s="643"/>
      <c r="G7" s="643"/>
      <c r="H7" s="643"/>
      <c r="I7" s="643"/>
      <c r="J7"/>
      <c r="K7"/>
      <c r="L7"/>
      <c r="M7"/>
      <c r="N7"/>
      <c r="O7"/>
      <c r="P7"/>
      <c r="Q7"/>
      <c r="R7" s="641"/>
      <c r="S7" s="641"/>
      <c r="T7" s="641"/>
      <c r="U7" s="641"/>
      <c r="V7" s="641"/>
      <c r="W7" s="641"/>
      <c r="X7" s="641"/>
      <c r="Y7" s="641"/>
      <c r="Z7" s="641"/>
      <c r="AA7"/>
      <c r="AB7" s="1214"/>
    </row>
    <row r="8" spans="1:29" s="412" customFormat="1" ht="15.5">
      <c r="A8" s="644"/>
      <c r="B8" s="643"/>
      <c r="C8" s="760"/>
      <c r="D8" s="760"/>
      <c r="E8" s="760"/>
      <c r="F8" s="760"/>
      <c r="G8" s="760"/>
      <c r="H8" s="760"/>
      <c r="I8" s="760"/>
      <c r="J8" s="661"/>
      <c r="K8" s="661"/>
      <c r="L8" s="661"/>
      <c r="M8" s="661"/>
      <c r="N8" s="661"/>
      <c r="O8" s="661"/>
      <c r="P8" s="661"/>
      <c r="Q8" s="661"/>
      <c r="R8" s="661"/>
      <c r="S8" s="661"/>
      <c r="T8" s="661"/>
      <c r="U8" s="661"/>
      <c r="V8" s="661"/>
      <c r="W8" s="661"/>
      <c r="X8" s="661"/>
      <c r="Y8" s="661"/>
      <c r="Z8" s="661"/>
      <c r="AA8" s="661"/>
      <c r="AB8" s="1214"/>
    </row>
    <row r="9" spans="1:29" s="412" customFormat="1" ht="15.5">
      <c r="A9" s="641"/>
      <c r="B9" s="641"/>
      <c r="C9" s="661"/>
      <c r="D9" s="661"/>
      <c r="E9" s="661"/>
      <c r="F9" s="661"/>
      <c r="G9" s="661"/>
      <c r="H9" s="661"/>
      <c r="I9" s="661"/>
      <c r="J9" s="661"/>
      <c r="K9" s="661"/>
      <c r="L9" s="661"/>
      <c r="M9" s="661"/>
      <c r="N9" s="661"/>
      <c r="O9" s="661"/>
      <c r="P9" s="661"/>
      <c r="Q9" s="661"/>
      <c r="R9" s="661"/>
      <c r="S9" s="661"/>
      <c r="T9" s="661"/>
      <c r="U9" s="661"/>
      <c r="V9" s="661"/>
      <c r="W9" s="661"/>
      <c r="X9" s="661"/>
      <c r="Y9" s="661"/>
      <c r="Z9" s="661"/>
      <c r="AA9" s="661"/>
      <c r="AB9" s="1214"/>
    </row>
    <row r="10" spans="1:29" s="412" customFormat="1" ht="18">
      <c r="A10" s="641"/>
      <c r="B10" s="660"/>
      <c r="C10" s="761">
        <v>2021</v>
      </c>
      <c r="D10" s="761" t="s">
        <v>14</v>
      </c>
      <c r="E10" s="761">
        <f>C10</f>
        <v>2021</v>
      </c>
      <c r="F10" s="761" t="s">
        <v>14</v>
      </c>
      <c r="G10" s="761">
        <f>C10</f>
        <v>2021</v>
      </c>
      <c r="H10" s="761" t="s">
        <v>14</v>
      </c>
      <c r="I10" s="761">
        <f>C10</f>
        <v>2021</v>
      </c>
      <c r="J10" s="761" t="s">
        <v>14</v>
      </c>
      <c r="K10" s="761">
        <f>E10</f>
        <v>2021</v>
      </c>
      <c r="L10" s="761" t="s">
        <v>14</v>
      </c>
      <c r="M10" s="761">
        <f>G10</f>
        <v>2021</v>
      </c>
      <c r="N10" s="761" t="s">
        <v>14</v>
      </c>
      <c r="O10" s="761">
        <f>I10</f>
        <v>2021</v>
      </c>
      <c r="P10" s="761" t="s">
        <v>14</v>
      </c>
      <c r="Q10" s="761">
        <f>K10</f>
        <v>2021</v>
      </c>
      <c r="R10" s="761" t="s">
        <v>14</v>
      </c>
      <c r="S10" s="761">
        <f>M10</f>
        <v>2021</v>
      </c>
      <c r="T10" s="761"/>
      <c r="U10" s="761">
        <v>2022</v>
      </c>
      <c r="V10" s="761"/>
      <c r="W10" s="761">
        <f>U10</f>
        <v>2022</v>
      </c>
      <c r="X10" s="761"/>
      <c r="Y10" s="761">
        <f>W10</f>
        <v>2022</v>
      </c>
      <c r="Z10" s="647"/>
      <c r="AA10" s="762" t="str">
        <f>'Medicaid Disp Share'!G10</f>
        <v>2021-2022</v>
      </c>
      <c r="AB10" s="1217"/>
    </row>
    <row r="11" spans="1:29" s="412" customFormat="1" ht="18">
      <c r="A11" s="641"/>
      <c r="B11" s="660"/>
      <c r="C11" s="2145" t="s">
        <v>123</v>
      </c>
      <c r="D11" s="762"/>
      <c r="E11" s="2145" t="s">
        <v>124</v>
      </c>
      <c r="F11" s="762"/>
      <c r="G11" s="2145" t="s">
        <v>125</v>
      </c>
      <c r="H11" s="762"/>
      <c r="I11" s="2145" t="s">
        <v>126</v>
      </c>
      <c r="J11" s="762"/>
      <c r="K11" s="2145" t="s">
        <v>127</v>
      </c>
      <c r="L11" s="762"/>
      <c r="M11" s="2145" t="s">
        <v>142</v>
      </c>
      <c r="N11" s="762"/>
      <c r="O11" s="2145" t="s">
        <v>143</v>
      </c>
      <c r="P11" s="762"/>
      <c r="Q11" s="2145" t="s">
        <v>130</v>
      </c>
      <c r="R11" s="762"/>
      <c r="S11" s="2145" t="s">
        <v>131</v>
      </c>
      <c r="T11" s="762"/>
      <c r="U11" s="2145" t="s">
        <v>132</v>
      </c>
      <c r="V11" s="762"/>
      <c r="W11" s="2145" t="s">
        <v>133</v>
      </c>
      <c r="X11" s="762"/>
      <c r="Y11" s="2145" t="s">
        <v>184</v>
      </c>
      <c r="Z11" s="647"/>
      <c r="AA11" s="2145" t="s">
        <v>544</v>
      </c>
      <c r="AB11" s="1214"/>
    </row>
    <row r="12" spans="1:29" s="412" customFormat="1" ht="17.5">
      <c r="A12"/>
      <c r="B12" s="660"/>
      <c r="C12" s="660"/>
      <c r="D12" s="660"/>
      <c r="E12" s="660"/>
      <c r="F12" s="660"/>
      <c r="G12" s="660"/>
      <c r="H12" s="660"/>
      <c r="I12" s="660"/>
      <c r="J12" s="660"/>
      <c r="K12" s="660"/>
      <c r="L12" s="660"/>
      <c r="M12" s="660"/>
      <c r="N12" s="660"/>
      <c r="O12" s="660"/>
      <c r="P12" s="660"/>
      <c r="Q12" s="660"/>
      <c r="R12" s="660"/>
      <c r="S12" s="660"/>
      <c r="T12" s="660"/>
      <c r="U12" s="660"/>
      <c r="V12" s="660"/>
      <c r="W12" s="660"/>
      <c r="X12" s="660"/>
      <c r="Y12" s="660"/>
      <c r="Z12" s="660"/>
      <c r="AA12" s="660"/>
      <c r="AB12" s="1873"/>
      <c r="AC12" s="1874"/>
    </row>
    <row r="13" spans="1:29" s="414" customFormat="1" ht="17.5">
      <c r="A13" s="661" t="s">
        <v>545</v>
      </c>
      <c r="B13" s="660"/>
      <c r="C13" s="660"/>
      <c r="D13" s="660"/>
      <c r="E13" s="660"/>
      <c r="F13" s="660"/>
      <c r="G13" s="660"/>
      <c r="H13" s="660"/>
      <c r="I13" s="660"/>
      <c r="J13" s="660"/>
      <c r="K13" s="660"/>
      <c r="L13" s="660"/>
      <c r="M13" s="660"/>
      <c r="N13" s="660"/>
      <c r="O13" s="660"/>
      <c r="P13" s="660"/>
      <c r="Q13" s="660"/>
      <c r="R13" s="660"/>
      <c r="S13" s="660"/>
      <c r="T13" s="660"/>
      <c r="U13" s="660"/>
      <c r="V13" s="660"/>
      <c r="W13" s="660"/>
      <c r="X13" s="660"/>
      <c r="Y13" s="660"/>
      <c r="Z13" s="660"/>
      <c r="AA13" s="660"/>
      <c r="AB13" s="1873"/>
      <c r="AC13" s="1875"/>
    </row>
    <row r="14" spans="1:29" s="414" customFormat="1" ht="17.5">
      <c r="A14" s="641" t="s">
        <v>546</v>
      </c>
      <c r="B14" s="660"/>
      <c r="C14" s="785">
        <v>0</v>
      </c>
      <c r="D14" s="785"/>
      <c r="E14" s="785"/>
      <c r="F14" s="785"/>
      <c r="G14" s="2157"/>
      <c r="H14" s="785"/>
      <c r="I14" s="3756"/>
      <c r="J14" s="786"/>
      <c r="K14" s="2157"/>
      <c r="L14" s="785"/>
      <c r="M14" s="2157"/>
      <c r="N14" s="786"/>
      <c r="O14" s="2157"/>
      <c r="P14" s="786"/>
      <c r="Q14" s="2157"/>
      <c r="R14" s="786"/>
      <c r="S14" s="2157"/>
      <c r="T14" s="786"/>
      <c r="U14" s="2157"/>
      <c r="V14" s="786"/>
      <c r="W14" s="2157"/>
      <c r="X14" s="786"/>
      <c r="Y14" s="2157"/>
      <c r="Z14" s="660"/>
      <c r="AA14" s="2996">
        <f>ROUND(SUM(C14:Z14),0)</f>
        <v>0</v>
      </c>
      <c r="AB14" s="1873"/>
      <c r="AC14" s="1875"/>
    </row>
    <row r="15" spans="1:29" s="414" customFormat="1" ht="17.5">
      <c r="A15" s="641" t="s">
        <v>547</v>
      </c>
      <c r="B15" s="660"/>
      <c r="C15" s="787">
        <v>34</v>
      </c>
      <c r="D15" s="788"/>
      <c r="E15" s="788"/>
      <c r="F15" s="788"/>
      <c r="G15" s="791"/>
      <c r="H15" s="788"/>
      <c r="I15" s="3757"/>
      <c r="J15" s="789"/>
      <c r="K15" s="791"/>
      <c r="L15" s="788"/>
      <c r="M15" s="791"/>
      <c r="N15" s="789"/>
      <c r="O15" s="791"/>
      <c r="P15" s="789"/>
      <c r="Q15" s="791"/>
      <c r="R15" s="789"/>
      <c r="S15" s="791"/>
      <c r="T15" s="789"/>
      <c r="U15" s="791"/>
      <c r="V15" s="789"/>
      <c r="W15" s="791"/>
      <c r="X15" s="789"/>
      <c r="Y15" s="791"/>
      <c r="Z15" s="660"/>
      <c r="AA15" s="1468">
        <f t="shared" ref="AA15:AA24" si="0">ROUND(SUM(C15:Z15),0)</f>
        <v>34</v>
      </c>
      <c r="AB15" s="1873"/>
      <c r="AC15" s="1875"/>
    </row>
    <row r="16" spans="1:29" s="414" customFormat="1" ht="17.5">
      <c r="A16" s="641" t="s">
        <v>548</v>
      </c>
      <c r="B16" s="660"/>
      <c r="C16" s="787">
        <v>0</v>
      </c>
      <c r="D16" s="788"/>
      <c r="E16" s="788"/>
      <c r="F16" s="788"/>
      <c r="G16" s="791"/>
      <c r="H16" s="788"/>
      <c r="I16" s="3757"/>
      <c r="J16" s="789"/>
      <c r="K16" s="791"/>
      <c r="L16" s="788"/>
      <c r="M16" s="791"/>
      <c r="N16" s="789"/>
      <c r="O16" s="791"/>
      <c r="P16" s="789"/>
      <c r="Q16" s="791"/>
      <c r="R16" s="789"/>
      <c r="S16" s="791"/>
      <c r="T16" s="789"/>
      <c r="U16" s="791"/>
      <c r="V16" s="789"/>
      <c r="W16" s="791"/>
      <c r="X16" s="789"/>
      <c r="Y16" s="791"/>
      <c r="Z16" s="660"/>
      <c r="AA16" s="1468">
        <f t="shared" si="0"/>
        <v>0</v>
      </c>
      <c r="AB16" s="1218"/>
      <c r="AC16" s="1875"/>
    </row>
    <row r="17" spans="1:29" s="414" customFormat="1" ht="17.5">
      <c r="A17" s="641" t="s">
        <v>909</v>
      </c>
      <c r="B17" s="660"/>
      <c r="C17" s="791">
        <v>0</v>
      </c>
      <c r="D17" s="788"/>
      <c r="E17" s="790"/>
      <c r="F17" s="788"/>
      <c r="G17" s="790"/>
      <c r="H17" s="788"/>
      <c r="I17" s="3758"/>
      <c r="J17" s="789"/>
      <c r="K17" s="790"/>
      <c r="L17" s="788"/>
      <c r="M17" s="790"/>
      <c r="N17" s="789"/>
      <c r="O17" s="790"/>
      <c r="P17" s="789"/>
      <c r="Q17" s="790"/>
      <c r="R17" s="789"/>
      <c r="S17" s="790"/>
      <c r="T17" s="789"/>
      <c r="U17" s="790"/>
      <c r="V17" s="789"/>
      <c r="W17" s="790"/>
      <c r="X17" s="789"/>
      <c r="Y17" s="790"/>
      <c r="Z17" s="660"/>
      <c r="AA17" s="1468">
        <f t="shared" si="0"/>
        <v>0</v>
      </c>
      <c r="AB17" s="1218"/>
      <c r="AC17" s="1875"/>
    </row>
    <row r="18" spans="1:29" s="414" customFormat="1" ht="17.5">
      <c r="A18" s="641" t="s">
        <v>549</v>
      </c>
      <c r="B18" s="660"/>
      <c r="C18" s="788"/>
      <c r="D18" s="788"/>
      <c r="E18" s="792"/>
      <c r="F18" s="788"/>
      <c r="G18" s="792"/>
      <c r="H18" s="788"/>
      <c r="I18" s="3759"/>
      <c r="J18" s="789"/>
      <c r="K18" s="792"/>
      <c r="L18" s="788"/>
      <c r="M18" s="792"/>
      <c r="N18" s="789"/>
      <c r="O18" s="792"/>
      <c r="P18" s="789"/>
      <c r="Q18" s="792"/>
      <c r="R18" s="789"/>
      <c r="S18" s="792"/>
      <c r="T18" s="789"/>
      <c r="U18" s="792"/>
      <c r="V18" s="789"/>
      <c r="W18" s="792"/>
      <c r="X18" s="789"/>
      <c r="Y18" s="792"/>
      <c r="Z18" s="660"/>
      <c r="AA18" s="1468"/>
      <c r="AB18" s="1218"/>
      <c r="AC18" s="1875"/>
    </row>
    <row r="19" spans="1:29" s="414" customFormat="1" ht="17.5">
      <c r="A19" s="641" t="s">
        <v>915</v>
      </c>
      <c r="B19" s="660"/>
      <c r="C19" s="787">
        <v>70</v>
      </c>
      <c r="D19" s="788"/>
      <c r="E19" s="788"/>
      <c r="F19" s="788"/>
      <c r="G19" s="791"/>
      <c r="H19" s="788"/>
      <c r="I19" s="3757"/>
      <c r="J19" s="789"/>
      <c r="K19" s="791"/>
      <c r="L19" s="788"/>
      <c r="M19" s="791"/>
      <c r="N19" s="789"/>
      <c r="O19" s="791"/>
      <c r="P19" s="789"/>
      <c r="Q19" s="791"/>
      <c r="R19" s="789"/>
      <c r="S19" s="791"/>
      <c r="T19" s="789"/>
      <c r="U19" s="791"/>
      <c r="V19" s="789"/>
      <c r="W19" s="791"/>
      <c r="X19" s="789"/>
      <c r="Y19" s="791"/>
      <c r="Z19" s="660"/>
      <c r="AA19" s="1468">
        <f t="shared" si="0"/>
        <v>70</v>
      </c>
      <c r="AB19" s="1218"/>
      <c r="AC19" s="1875"/>
    </row>
    <row r="20" spans="1:29" s="414" customFormat="1" ht="17.5">
      <c r="A20" s="641" t="s">
        <v>550</v>
      </c>
      <c r="B20" s="660"/>
      <c r="C20" s="787">
        <v>0</v>
      </c>
      <c r="D20" s="788"/>
      <c r="E20" s="788"/>
      <c r="F20" s="788"/>
      <c r="G20" s="791"/>
      <c r="H20" s="788"/>
      <c r="I20" s="3757"/>
      <c r="J20" s="789"/>
      <c r="K20" s="791"/>
      <c r="L20" s="788"/>
      <c r="M20" s="791"/>
      <c r="N20" s="789"/>
      <c r="O20" s="791"/>
      <c r="P20" s="789"/>
      <c r="Q20" s="791"/>
      <c r="R20" s="789"/>
      <c r="S20" s="791"/>
      <c r="T20" s="789"/>
      <c r="U20" s="791"/>
      <c r="V20" s="789"/>
      <c r="W20" s="791"/>
      <c r="X20" s="789"/>
      <c r="Y20" s="791"/>
      <c r="Z20" s="660"/>
      <c r="AA20" s="1468">
        <f t="shared" si="0"/>
        <v>0</v>
      </c>
      <c r="AB20" s="1218"/>
      <c r="AC20" s="1875"/>
    </row>
    <row r="21" spans="1:29" s="414" customFormat="1" ht="17.5">
      <c r="A21" s="641" t="s">
        <v>551</v>
      </c>
      <c r="B21" s="660"/>
      <c r="C21" s="787">
        <v>0</v>
      </c>
      <c r="D21" s="788"/>
      <c r="E21" s="788"/>
      <c r="F21" s="788"/>
      <c r="G21" s="791"/>
      <c r="H21" s="788"/>
      <c r="I21" s="3757"/>
      <c r="J21" s="789"/>
      <c r="K21" s="791"/>
      <c r="L21" s="788"/>
      <c r="M21" s="791"/>
      <c r="N21" s="789"/>
      <c r="O21" s="791"/>
      <c r="P21" s="789"/>
      <c r="Q21" s="791"/>
      <c r="R21" s="789"/>
      <c r="S21" s="791"/>
      <c r="T21" s="789"/>
      <c r="U21" s="791"/>
      <c r="V21" s="789"/>
      <c r="W21" s="791"/>
      <c r="X21" s="789"/>
      <c r="Y21" s="791"/>
      <c r="Z21" s="660"/>
      <c r="AA21" s="1468">
        <f t="shared" si="0"/>
        <v>0</v>
      </c>
      <c r="AB21" s="1218"/>
      <c r="AC21" s="1875"/>
    </row>
    <row r="22" spans="1:29" s="414" customFormat="1" ht="17.5">
      <c r="A22" s="641" t="s">
        <v>552</v>
      </c>
      <c r="B22" s="660"/>
      <c r="C22" s="787">
        <v>-10</v>
      </c>
      <c r="D22" s="788"/>
      <c r="E22" s="788"/>
      <c r="F22" s="788"/>
      <c r="G22" s="791"/>
      <c r="H22" s="788"/>
      <c r="I22" s="3757"/>
      <c r="J22" s="789"/>
      <c r="K22" s="791"/>
      <c r="L22" s="788"/>
      <c r="M22" s="791"/>
      <c r="N22" s="789"/>
      <c r="O22" s="791"/>
      <c r="P22" s="789"/>
      <c r="Q22" s="791"/>
      <c r="R22" s="789"/>
      <c r="S22" s="791"/>
      <c r="T22" s="789"/>
      <c r="U22" s="791"/>
      <c r="V22" s="789"/>
      <c r="W22" s="791"/>
      <c r="X22" s="789"/>
      <c r="Y22" s="791"/>
      <c r="Z22" s="660"/>
      <c r="AA22" s="1468">
        <f t="shared" si="0"/>
        <v>-10</v>
      </c>
      <c r="AB22" s="1218"/>
      <c r="AC22" s="1875"/>
    </row>
    <row r="23" spans="1:29" s="414" customFormat="1" ht="17.5">
      <c r="A23" s="641" t="s">
        <v>553</v>
      </c>
      <c r="B23" s="660"/>
      <c r="C23" s="787">
        <v>0</v>
      </c>
      <c r="D23" s="788"/>
      <c r="E23" s="788"/>
      <c r="F23" s="788"/>
      <c r="G23" s="791"/>
      <c r="H23" s="788"/>
      <c r="I23" s="3757"/>
      <c r="J23" s="789"/>
      <c r="K23" s="791"/>
      <c r="L23" s="788"/>
      <c r="M23" s="791"/>
      <c r="N23" s="789"/>
      <c r="O23" s="791"/>
      <c r="P23" s="789"/>
      <c r="Q23" s="791"/>
      <c r="R23" s="789"/>
      <c r="S23" s="791"/>
      <c r="T23" s="789"/>
      <c r="U23" s="791"/>
      <c r="V23" s="789"/>
      <c r="W23" s="791"/>
      <c r="X23" s="789"/>
      <c r="Y23" s="791"/>
      <c r="Z23" s="660"/>
      <c r="AA23" s="1468">
        <f>ROUND(SUM(C23:Z23),0)</f>
        <v>0</v>
      </c>
      <c r="AB23" s="1218"/>
      <c r="AC23" s="1875"/>
    </row>
    <row r="24" spans="1:29" s="414" customFormat="1" ht="17.5">
      <c r="A24" s="641" t="s">
        <v>554</v>
      </c>
      <c r="B24" s="660"/>
      <c r="C24" s="788">
        <v>21</v>
      </c>
      <c r="D24" s="788"/>
      <c r="E24" s="788"/>
      <c r="F24" s="788"/>
      <c r="G24" s="787"/>
      <c r="H24" s="788"/>
      <c r="I24" s="3757"/>
      <c r="J24" s="789"/>
      <c r="K24" s="791"/>
      <c r="L24" s="788"/>
      <c r="M24" s="791"/>
      <c r="N24" s="789"/>
      <c r="O24" s="791"/>
      <c r="P24" s="789"/>
      <c r="Q24" s="791"/>
      <c r="R24" s="789"/>
      <c r="S24" s="791"/>
      <c r="T24" s="789"/>
      <c r="U24" s="791"/>
      <c r="V24" s="789"/>
      <c r="W24" s="791"/>
      <c r="X24" s="789"/>
      <c r="Y24" s="791"/>
      <c r="Z24" s="660"/>
      <c r="AA24" s="1468">
        <f t="shared" si="0"/>
        <v>21</v>
      </c>
      <c r="AB24" s="1218"/>
      <c r="AC24" s="1875"/>
    </row>
    <row r="25" spans="1:29" s="414" customFormat="1" ht="17.5">
      <c r="A25" s="661" t="s">
        <v>804</v>
      </c>
      <c r="B25" s="660"/>
      <c r="C25" s="2147">
        <f>ROUND(SUM(C14:C24),0)</f>
        <v>115</v>
      </c>
      <c r="D25" s="641"/>
      <c r="E25" s="2147">
        <f>ROUND(SUM(E14:E24),0)</f>
        <v>0</v>
      </c>
      <c r="F25" s="641"/>
      <c r="G25" s="2147">
        <f>ROUND(SUM(G14:G24),0)</f>
        <v>0</v>
      </c>
      <c r="H25" s="641"/>
      <c r="I25" s="3760">
        <f>ROUND(SUM(I14:I24),0)</f>
        <v>0</v>
      </c>
      <c r="J25" s="641"/>
      <c r="K25" s="2147">
        <f>ROUND(SUM(K14:K24),0)</f>
        <v>0</v>
      </c>
      <c r="L25" s="641"/>
      <c r="M25" s="2147">
        <f>ROUND(SUM(M14:M24),0)</f>
        <v>0</v>
      </c>
      <c r="N25" s="641"/>
      <c r="O25" s="2147">
        <f>ROUND(SUM(O14:O24),0)</f>
        <v>0</v>
      </c>
      <c r="P25" s="641"/>
      <c r="Q25" s="2147">
        <f>ROUND(SUM(Q14:Q24),0)</f>
        <v>0</v>
      </c>
      <c r="R25" s="641"/>
      <c r="S25" s="2147">
        <f>ROUND(SUM(S14:S24),0)</f>
        <v>0</v>
      </c>
      <c r="T25" s="641"/>
      <c r="U25" s="2147">
        <f>ROUND(SUM(U14:U24),0)</f>
        <v>0</v>
      </c>
      <c r="V25" s="641"/>
      <c r="W25" s="2147">
        <f>ROUND(SUM(W14:W24),0)</f>
        <v>0</v>
      </c>
      <c r="X25" s="641"/>
      <c r="Y25" s="2147">
        <f>ROUND(SUM(Y14:Y24),0)</f>
        <v>0</v>
      </c>
      <c r="Z25" s="641"/>
      <c r="AA25" s="2997">
        <f>ROUND(SUM(AA14:AA24),0)</f>
        <v>115</v>
      </c>
      <c r="AB25" s="1218"/>
      <c r="AC25" s="1875"/>
    </row>
    <row r="26" spans="1:29" s="414" customFormat="1" ht="17.5">
      <c r="A26"/>
      <c r="B26" s="660"/>
      <c r="C26" s="660"/>
      <c r="D26" s="660"/>
      <c r="E26" s="660"/>
      <c r="F26" s="660"/>
      <c r="G26" s="660"/>
      <c r="H26" s="660"/>
      <c r="I26" s="3761"/>
      <c r="J26" s="660"/>
      <c r="K26" s="660"/>
      <c r="L26" s="660"/>
      <c r="M26" s="660"/>
      <c r="N26" s="660"/>
      <c r="O26" s="660"/>
      <c r="P26" s="660"/>
      <c r="Q26" s="660"/>
      <c r="R26" s="660"/>
      <c r="S26" s="660"/>
      <c r="T26" s="660"/>
      <c r="U26" s="660"/>
      <c r="V26" s="660"/>
      <c r="W26" s="660"/>
      <c r="X26" s="660"/>
      <c r="Y26" s="660"/>
      <c r="Z26" s="660"/>
      <c r="AA26" s="803"/>
      <c r="AB26" s="1218"/>
      <c r="AC26" s="1875"/>
    </row>
    <row r="27" spans="1:29" s="414" customFormat="1" ht="17.5">
      <c r="A27" s="641"/>
      <c r="B27" s="660"/>
      <c r="C27" s="660"/>
      <c r="D27" s="660"/>
      <c r="E27" s="660"/>
      <c r="F27" s="660"/>
      <c r="G27" s="660"/>
      <c r="H27" s="660"/>
      <c r="I27" s="3761"/>
      <c r="J27" s="660"/>
      <c r="K27" s="660"/>
      <c r="L27" s="660"/>
      <c r="M27" s="660"/>
      <c r="N27" s="660"/>
      <c r="O27" s="660"/>
      <c r="P27" s="660"/>
      <c r="Q27" s="660"/>
      <c r="R27" s="660"/>
      <c r="S27" s="660"/>
      <c r="T27" s="660"/>
      <c r="U27" s="660"/>
      <c r="V27" s="660"/>
      <c r="W27" s="660"/>
      <c r="X27" s="660"/>
      <c r="Y27" s="660"/>
      <c r="Z27" s="660"/>
      <c r="AA27" s="803"/>
      <c r="AB27" s="1218"/>
      <c r="AC27" s="1875"/>
    </row>
    <row r="28" spans="1:29" s="414" customFormat="1" ht="17.5">
      <c r="A28" s="661" t="s">
        <v>555</v>
      </c>
      <c r="B28" s="660"/>
      <c r="C28" s="660"/>
      <c r="D28" s="660"/>
      <c r="E28" s="660"/>
      <c r="F28" s="660"/>
      <c r="G28" s="660"/>
      <c r="H28" s="660"/>
      <c r="I28" s="3761"/>
      <c r="J28" s="660"/>
      <c r="K28" s="660"/>
      <c r="L28" s="660"/>
      <c r="M28" s="660"/>
      <c r="N28" s="660"/>
      <c r="O28" s="660"/>
      <c r="P28" s="660"/>
      <c r="Q28" s="660"/>
      <c r="R28" s="660"/>
      <c r="S28" s="660"/>
      <c r="T28" s="660"/>
      <c r="U28" s="660"/>
      <c r="V28" s="660"/>
      <c r="W28" s="660"/>
      <c r="X28" s="660"/>
      <c r="Y28" s="660"/>
      <c r="Z28" s="660"/>
      <c r="AA28" s="803"/>
      <c r="AB28" s="1218"/>
      <c r="AC28" s="1875"/>
    </row>
    <row r="29" spans="1:29" s="414" customFormat="1" ht="17.5">
      <c r="A29" s="641" t="s">
        <v>549</v>
      </c>
      <c r="B29" s="660"/>
      <c r="C29" s="660"/>
      <c r="D29" s="660"/>
      <c r="E29" s="660"/>
      <c r="F29" s="660"/>
      <c r="G29" s="660"/>
      <c r="H29" s="660"/>
      <c r="I29" s="3761"/>
      <c r="J29" s="660"/>
      <c r="K29" s="660"/>
      <c r="L29" s="660"/>
      <c r="M29" s="660"/>
      <c r="N29" s="660"/>
      <c r="O29" s="660"/>
      <c r="P29" s="660"/>
      <c r="Q29" s="660"/>
      <c r="R29" s="660"/>
      <c r="S29" s="660"/>
      <c r="T29" s="660"/>
      <c r="U29" s="660"/>
      <c r="V29" s="660"/>
      <c r="W29" s="660"/>
      <c r="X29" s="660"/>
      <c r="Y29" s="660"/>
      <c r="Z29" s="660"/>
      <c r="AA29" s="803"/>
      <c r="AB29" s="1218"/>
      <c r="AC29" s="1875"/>
    </row>
    <row r="30" spans="1:29" s="414" customFormat="1" ht="17.5">
      <c r="A30" s="641" t="s">
        <v>556</v>
      </c>
      <c r="B30" s="660"/>
      <c r="C30" s="790">
        <v>0</v>
      </c>
      <c r="D30" s="788"/>
      <c r="E30" s="790"/>
      <c r="F30" s="788"/>
      <c r="G30" s="790"/>
      <c r="H30" s="788"/>
      <c r="I30" s="3758"/>
      <c r="J30" s="789"/>
      <c r="K30" s="790"/>
      <c r="L30" s="788"/>
      <c r="M30" s="790"/>
      <c r="N30" s="789"/>
      <c r="O30" s="790"/>
      <c r="P30" s="789"/>
      <c r="Q30" s="790"/>
      <c r="R30" s="789"/>
      <c r="S30" s="790"/>
      <c r="T30" s="789"/>
      <c r="U30" s="790"/>
      <c r="V30" s="789"/>
      <c r="W30" s="790"/>
      <c r="X30" s="789"/>
      <c r="Y30" s="790"/>
      <c r="Z30" s="660"/>
      <c r="AA30" s="1468">
        <f>ROUND(SUM(C30:Z30),0)</f>
        <v>0</v>
      </c>
      <c r="AB30" s="1218"/>
      <c r="AC30" s="1875"/>
    </row>
    <row r="31" spans="1:29" s="414" customFormat="1" ht="17.5">
      <c r="A31" s="641" t="s">
        <v>1111</v>
      </c>
      <c r="B31" s="660"/>
      <c r="C31" s="788">
        <v>0</v>
      </c>
      <c r="D31" s="788"/>
      <c r="E31" s="790"/>
      <c r="F31" s="788"/>
      <c r="G31" s="790"/>
      <c r="H31" s="788"/>
      <c r="I31" s="3758"/>
      <c r="J31" s="789"/>
      <c r="K31" s="790"/>
      <c r="L31" s="788"/>
      <c r="M31" s="790"/>
      <c r="N31" s="789"/>
      <c r="O31" s="790"/>
      <c r="P31" s="789"/>
      <c r="Q31" s="790"/>
      <c r="R31" s="789"/>
      <c r="S31" s="790"/>
      <c r="T31" s="789"/>
      <c r="U31" s="790"/>
      <c r="V31" s="789"/>
      <c r="W31" s="790"/>
      <c r="X31" s="789"/>
      <c r="Y31" s="790"/>
      <c r="Z31" s="660"/>
      <c r="AA31" s="1468">
        <f>ROUND(SUM(C31:Z31),0)</f>
        <v>0</v>
      </c>
      <c r="AB31" s="1218"/>
      <c r="AC31" s="1875"/>
    </row>
    <row r="32" spans="1:29" s="414" customFormat="1" ht="17.5">
      <c r="A32" s="641" t="s">
        <v>557</v>
      </c>
      <c r="B32" s="660"/>
      <c r="C32" s="790">
        <v>0</v>
      </c>
      <c r="D32" s="788"/>
      <c r="E32" s="790"/>
      <c r="F32" s="788"/>
      <c r="G32" s="790"/>
      <c r="H32" s="788"/>
      <c r="I32" s="3758"/>
      <c r="J32" s="789"/>
      <c r="K32" s="790"/>
      <c r="L32" s="788"/>
      <c r="M32" s="790"/>
      <c r="N32" s="789"/>
      <c r="O32" s="790"/>
      <c r="P32" s="789"/>
      <c r="Q32" s="790"/>
      <c r="R32" s="789"/>
      <c r="S32" s="790"/>
      <c r="T32" s="789"/>
      <c r="U32" s="790"/>
      <c r="V32" s="789"/>
      <c r="W32" s="790"/>
      <c r="X32" s="789"/>
      <c r="Y32" s="790"/>
      <c r="Z32" s="660"/>
      <c r="AA32" s="1468">
        <f>ROUND(SUM(C32:Z32),0)</f>
        <v>0</v>
      </c>
      <c r="AB32" s="1218"/>
      <c r="AC32" s="1875"/>
    </row>
    <row r="33" spans="1:29" s="414" customFormat="1" ht="17.5">
      <c r="A33" s="641" t="s">
        <v>909</v>
      </c>
      <c r="B33" s="660"/>
      <c r="C33" s="790">
        <v>0</v>
      </c>
      <c r="D33" s="788"/>
      <c r="E33" s="790"/>
      <c r="F33" s="793"/>
      <c r="G33" s="790"/>
      <c r="H33" s="793"/>
      <c r="I33" s="3758"/>
      <c r="J33" s="794"/>
      <c r="K33" s="790"/>
      <c r="L33" s="793"/>
      <c r="M33" s="790"/>
      <c r="N33" s="794"/>
      <c r="O33" s="790"/>
      <c r="P33" s="794"/>
      <c r="Q33" s="790"/>
      <c r="R33" s="794"/>
      <c r="S33" s="790"/>
      <c r="T33" s="794"/>
      <c r="U33" s="790"/>
      <c r="V33" s="794"/>
      <c r="W33" s="790"/>
      <c r="X33" s="794"/>
      <c r="Y33" s="790"/>
      <c r="Z33" s="660"/>
      <c r="AA33" s="1468">
        <f>ROUND(SUM(C33:Z33),0)</f>
        <v>0</v>
      </c>
      <c r="AB33" s="1218"/>
      <c r="AC33" s="1875"/>
    </row>
    <row r="34" spans="1:29" s="412" customFormat="1" ht="17.5">
      <c r="A34" s="641" t="s">
        <v>558</v>
      </c>
      <c r="B34" s="660"/>
      <c r="C34" s="2146">
        <v>0</v>
      </c>
      <c r="D34" s="788"/>
      <c r="E34" s="2146"/>
      <c r="F34" s="788"/>
      <c r="G34" s="2146"/>
      <c r="H34" s="788"/>
      <c r="I34" s="3762"/>
      <c r="J34" s="789"/>
      <c r="K34" s="2146"/>
      <c r="L34" s="788"/>
      <c r="M34" s="2146"/>
      <c r="N34" s="789"/>
      <c r="O34" s="2146"/>
      <c r="P34" s="789"/>
      <c r="Q34" s="2146"/>
      <c r="R34" s="789"/>
      <c r="S34" s="2146"/>
      <c r="T34" s="789"/>
      <c r="U34" s="2146"/>
      <c r="V34" s="789"/>
      <c r="W34" s="2146"/>
      <c r="X34" s="789"/>
      <c r="Y34" s="2146"/>
      <c r="Z34" s="660"/>
      <c r="AA34" s="1468">
        <f>ROUND(SUM(C34:Z34),0)</f>
        <v>0</v>
      </c>
      <c r="AB34" s="1219"/>
      <c r="AC34" s="1876"/>
    </row>
    <row r="35" spans="1:29" s="412" customFormat="1" ht="17.5">
      <c r="A35" s="661" t="s">
        <v>803</v>
      </c>
      <c r="B35" s="660"/>
      <c r="C35" s="2147">
        <f>ROUND(SUM(C30:C34),0)</f>
        <v>0</v>
      </c>
      <c r="D35" s="641"/>
      <c r="E35" s="2147">
        <f>ROUND(SUM(E30:E34),0)</f>
        <v>0</v>
      </c>
      <c r="F35" s="641"/>
      <c r="G35" s="2147">
        <f>ROUND(SUM(G30:G34),0)</f>
        <v>0</v>
      </c>
      <c r="H35" s="641"/>
      <c r="I35" s="2147">
        <f>ROUND(SUM(I30:I34),0)</f>
        <v>0</v>
      </c>
      <c r="J35" s="641"/>
      <c r="K35" s="2147">
        <f>ROUND(SUM(K30:K34),0)</f>
        <v>0</v>
      </c>
      <c r="L35" s="641"/>
      <c r="M35" s="2147">
        <f>ROUND(SUM(M30:M34),0)</f>
        <v>0</v>
      </c>
      <c r="N35" s="641"/>
      <c r="O35" s="2147">
        <f>ROUND(SUM(O30:O34),0)</f>
        <v>0</v>
      </c>
      <c r="P35" s="641"/>
      <c r="Q35" s="2147">
        <f>ROUND(SUM(Q30:Q34),0)</f>
        <v>0</v>
      </c>
      <c r="R35" s="641"/>
      <c r="S35" s="2147">
        <f>ROUND(SUM(S30:S34),0)</f>
        <v>0</v>
      </c>
      <c r="T35" s="641"/>
      <c r="U35" s="2147">
        <f>ROUND(SUM(U30:U34),0)</f>
        <v>0</v>
      </c>
      <c r="V35" s="641"/>
      <c r="W35" s="2147">
        <f>ROUND(SUM(W30:W34),0)</f>
        <v>0</v>
      </c>
      <c r="X35" s="641"/>
      <c r="Y35" s="2147">
        <f>ROUND(SUM(Y30:Y34),0)</f>
        <v>0</v>
      </c>
      <c r="Z35" s="641"/>
      <c r="AA35" s="2147">
        <f>ROUND(SUM(AA30:AA34),0)</f>
        <v>0</v>
      </c>
      <c r="AB35" s="1219"/>
      <c r="AC35" s="1876"/>
    </row>
    <row r="36" spans="1:29" ht="17.5">
      <c r="A36" s="641"/>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41"/>
      <c r="AB36" s="1219"/>
      <c r="AC36" s="1877"/>
    </row>
    <row r="37" spans="1:29" ht="17.5">
      <c r="A37" s="641"/>
      <c r="B37" s="660"/>
      <c r="C37" s="660"/>
      <c r="D37" s="660"/>
      <c r="E37" s="660"/>
      <c r="F37" s="660"/>
      <c r="G37" s="660"/>
      <c r="H37" s="660"/>
      <c r="I37" s="660"/>
      <c r="J37" s="660"/>
      <c r="K37" s="660"/>
      <c r="L37" s="660"/>
      <c r="M37" s="660"/>
      <c r="N37" s="660"/>
      <c r="O37" s="660"/>
      <c r="P37" s="660"/>
      <c r="Q37" s="660"/>
      <c r="R37" s="660"/>
      <c r="S37" s="2158"/>
      <c r="T37" s="660"/>
      <c r="U37" s="660"/>
      <c r="V37" s="660"/>
      <c r="W37" s="660"/>
      <c r="X37" s="660"/>
      <c r="Y37" s="660"/>
      <c r="Z37" s="660"/>
      <c r="AA37" s="641"/>
    </row>
    <row r="38" spans="1:29" s="416" customFormat="1" ht="18" thickBot="1">
      <c r="A38" s="661" t="s">
        <v>802</v>
      </c>
      <c r="B38" s="660"/>
      <c r="C38" s="1878">
        <f>ROUND(C25+C35,0)</f>
        <v>115</v>
      </c>
      <c r="D38" s="641"/>
      <c r="E38" s="1878">
        <f>ROUND(E25+E35,0)</f>
        <v>0</v>
      </c>
      <c r="F38" s="641"/>
      <c r="G38" s="1878">
        <f>ROUND(G25+G35,0)</f>
        <v>0</v>
      </c>
      <c r="H38" s="641"/>
      <c r="I38" s="1878">
        <f>ROUND(I25+I35,0)</f>
        <v>0</v>
      </c>
      <c r="J38" s="641"/>
      <c r="K38" s="1878">
        <f>ROUND(K25+K35,0)</f>
        <v>0</v>
      </c>
      <c r="L38" s="641"/>
      <c r="M38" s="1878">
        <f>ROUND(M25+M35,0)</f>
        <v>0</v>
      </c>
      <c r="N38" s="641"/>
      <c r="O38" s="1878">
        <f>ROUND(O25+O35,0)</f>
        <v>0</v>
      </c>
      <c r="P38" s="641"/>
      <c r="Q38" s="1878">
        <f>ROUND(Q25+Q35,0)</f>
        <v>0</v>
      </c>
      <c r="R38" s="641"/>
      <c r="S38" s="1878">
        <f>ROUND(S25+S35,0)</f>
        <v>0</v>
      </c>
      <c r="T38" s="641"/>
      <c r="U38" s="1878">
        <f>ROUND(U25+U35,0)</f>
        <v>0</v>
      </c>
      <c r="V38" s="641"/>
      <c r="W38" s="1878">
        <f>ROUND(W25+W35,0)</f>
        <v>0</v>
      </c>
      <c r="X38" s="641"/>
      <c r="Y38" s="1878">
        <f>ROUND(Y25+Y35,0)</f>
        <v>0</v>
      </c>
      <c r="Z38" s="641"/>
      <c r="AA38" s="1878">
        <f>ROUND(AA25+AA35,0)</f>
        <v>115</v>
      </c>
    </row>
    <row r="39" spans="1:29" ht="16" thickTop="1">
      <c r="A39" s="1220"/>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60" t="s">
        <v>559</v>
      </c>
      <c r="B41" s="3961"/>
      <c r="C41" s="3961"/>
      <c r="D41" s="3961"/>
      <c r="E41" s="3961"/>
      <c r="F41" s="3961"/>
      <c r="G41" s="3961"/>
      <c r="H41" s="3961"/>
      <c r="I41" s="3961"/>
      <c r="J41" s="3961"/>
      <c r="K41" s="3961"/>
      <c r="L41" s="3961"/>
      <c r="M41" s="3961"/>
      <c r="N41" s="3961"/>
      <c r="O41" s="3961"/>
      <c r="P41" s="3961"/>
      <c r="Q41" s="3961"/>
      <c r="R41" s="3961"/>
      <c r="S41" s="3961"/>
      <c r="T41" s="3961"/>
      <c r="U41" s="3961"/>
      <c r="V41" s="3961"/>
      <c r="W41" s="3961"/>
      <c r="X41" s="3961"/>
      <c r="Y41" s="3961"/>
      <c r="Z41" s="3961"/>
      <c r="AA41" s="3962"/>
    </row>
    <row r="42" spans="1:29" ht="20.149999999999999" customHeight="1">
      <c r="A42" s="3963"/>
      <c r="B42" s="3964"/>
      <c r="C42" s="3964"/>
      <c r="D42" s="3964"/>
      <c r="E42" s="3964"/>
      <c r="F42" s="3964"/>
      <c r="G42" s="3964"/>
      <c r="H42" s="3964"/>
      <c r="I42" s="3964"/>
      <c r="J42" s="3964"/>
      <c r="K42" s="3964"/>
      <c r="L42" s="3964"/>
      <c r="M42" s="3964"/>
      <c r="N42" s="3964"/>
      <c r="O42" s="3964"/>
      <c r="P42" s="3964"/>
      <c r="Q42" s="3964"/>
      <c r="R42" s="3964"/>
      <c r="S42" s="3964"/>
      <c r="T42" s="3964"/>
      <c r="U42" s="3964"/>
      <c r="V42" s="3964"/>
      <c r="W42" s="3964"/>
      <c r="X42" s="3964"/>
      <c r="Y42" s="3964"/>
      <c r="Z42" s="3964"/>
      <c r="AA42" s="3965"/>
    </row>
    <row r="43" spans="1:29" ht="20.149999999999999" customHeight="1">
      <c r="A43" s="3963"/>
      <c r="B43" s="3964"/>
      <c r="C43" s="3964"/>
      <c r="D43" s="3964"/>
      <c r="E43" s="3964"/>
      <c r="F43" s="3964"/>
      <c r="G43" s="3964"/>
      <c r="H43" s="3964"/>
      <c r="I43" s="3964"/>
      <c r="J43" s="3964"/>
      <c r="K43" s="3964"/>
      <c r="L43" s="3964"/>
      <c r="M43" s="3964"/>
      <c r="N43" s="3964"/>
      <c r="O43" s="3964"/>
      <c r="P43" s="3964"/>
      <c r="Q43" s="3964"/>
      <c r="R43" s="3964"/>
      <c r="S43" s="3964"/>
      <c r="T43" s="3964"/>
      <c r="U43" s="3964"/>
      <c r="V43" s="3964"/>
      <c r="W43" s="3964"/>
      <c r="X43" s="3964"/>
      <c r="Y43" s="3964"/>
      <c r="Z43" s="3964"/>
      <c r="AA43" s="3965"/>
    </row>
    <row r="44" spans="1:29" ht="22.5" customHeight="1" thickBot="1">
      <c r="A44" s="3966"/>
      <c r="B44" s="3967"/>
      <c r="C44" s="3967"/>
      <c r="D44" s="3967"/>
      <c r="E44" s="3967"/>
      <c r="F44" s="3967"/>
      <c r="G44" s="3967"/>
      <c r="H44" s="3967"/>
      <c r="I44" s="3967"/>
      <c r="J44" s="3967"/>
      <c r="K44" s="3967"/>
      <c r="L44" s="3967"/>
      <c r="M44" s="3967"/>
      <c r="N44" s="3967"/>
      <c r="O44" s="3967"/>
      <c r="P44" s="3967"/>
      <c r="Q44" s="3967"/>
      <c r="R44" s="3967"/>
      <c r="S44" s="3967"/>
      <c r="T44" s="3967"/>
      <c r="U44" s="3967"/>
      <c r="V44" s="3967"/>
      <c r="W44" s="3967"/>
      <c r="X44" s="3967"/>
      <c r="Y44" s="3967"/>
      <c r="Z44" s="3967"/>
      <c r="AA44" s="3968"/>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6"/>
  <sheetViews>
    <sheetView showGridLines="0" zoomScale="80" zoomScaleNormal="80" workbookViewId="0"/>
  </sheetViews>
  <sheetFormatPr defaultRowHeight="14.5"/>
  <cols>
    <col min="1" max="1" width="2.07421875" style="2859" customWidth="1"/>
    <col min="2" max="2" width="10.07421875" style="2859" customWidth="1"/>
    <col min="3" max="3" width="2.07421875" style="2991" customWidth="1"/>
    <col min="4" max="4" width="50.4609375" style="2859" customWidth="1"/>
    <col min="5" max="5" width="8.765625" style="2991" customWidth="1"/>
    <col min="6" max="6" width="2.07421875" style="2992" customWidth="1"/>
    <col min="7" max="7" width="21.765625" style="2993" bestFit="1" customWidth="1"/>
    <col min="8" max="8" width="2.07421875" style="2991" customWidth="1"/>
    <col min="9" max="9" width="21.53515625" style="2859" bestFit="1" customWidth="1"/>
    <col min="10" max="10" width="2.07421875" style="2991" customWidth="1"/>
    <col min="11" max="11" width="21.765625" style="2859" bestFit="1" customWidth="1"/>
    <col min="12" max="12" width="2.07421875" style="2991" customWidth="1"/>
    <col min="13" max="13" width="20.765625" style="2859" customWidth="1"/>
    <col min="14" max="14" width="2.07421875" style="2991" customWidth="1"/>
    <col min="15" max="15" width="22.23046875" style="3600" bestFit="1" customWidth="1"/>
    <col min="16" max="16" width="6.07421875" style="2859" bestFit="1" customWidth="1"/>
    <col min="17" max="17" width="13.07421875" style="2859" bestFit="1" customWidth="1"/>
    <col min="18" max="255" width="8.765625" style="2859"/>
    <col min="256" max="257" width="8.765625" style="2859" customWidth="1"/>
    <col min="258" max="258" width="10.07421875" style="2859" customWidth="1"/>
    <col min="259" max="259" width="2.07421875" style="2859" customWidth="1"/>
    <col min="260" max="260" width="50.4609375" style="2859" customWidth="1"/>
    <col min="261" max="261" width="8.765625" style="2859"/>
    <col min="262" max="262" width="2.07421875" style="2859" customWidth="1"/>
    <col min="263" max="263" width="23.765625" style="2859" customWidth="1"/>
    <col min="264" max="264" width="2.07421875" style="2859" customWidth="1"/>
    <col min="265" max="265" width="23.765625" style="2859" customWidth="1"/>
    <col min="266" max="266" width="2.07421875" style="2859" customWidth="1"/>
    <col min="267" max="267" width="23.765625" style="2859" customWidth="1"/>
    <col min="268" max="268" width="2.07421875" style="2859" customWidth="1"/>
    <col min="269" max="269" width="23.765625" style="2859" customWidth="1"/>
    <col min="270" max="270" width="2.07421875" style="2859" customWidth="1"/>
    <col min="271" max="271" width="23.765625" style="2859" customWidth="1"/>
    <col min="272" max="272" width="2.765625" style="2859" bestFit="1" customWidth="1"/>
    <col min="273" max="511" width="8.765625" style="2859"/>
    <col min="512" max="513" width="8.765625" style="2859" customWidth="1"/>
    <col min="514" max="514" width="10.07421875" style="2859" customWidth="1"/>
    <col min="515" max="515" width="2.07421875" style="2859" customWidth="1"/>
    <col min="516" max="516" width="50.4609375" style="2859" customWidth="1"/>
    <col min="517" max="517" width="8.765625" style="2859"/>
    <col min="518" max="518" width="2.07421875" style="2859" customWidth="1"/>
    <col min="519" max="519" width="23.765625" style="2859" customWidth="1"/>
    <col min="520" max="520" width="2.07421875" style="2859" customWidth="1"/>
    <col min="521" max="521" width="23.765625" style="2859" customWidth="1"/>
    <col min="522" max="522" width="2.07421875" style="2859" customWidth="1"/>
    <col min="523" max="523" width="23.765625" style="2859" customWidth="1"/>
    <col min="524" max="524" width="2.07421875" style="2859" customWidth="1"/>
    <col min="525" max="525" width="23.765625" style="2859" customWidth="1"/>
    <col min="526" max="526" width="2.07421875" style="2859" customWidth="1"/>
    <col min="527" max="527" width="23.765625" style="2859" customWidth="1"/>
    <col min="528" max="528" width="2.765625" style="2859" bestFit="1" customWidth="1"/>
    <col min="529" max="767" width="8.765625" style="2859"/>
    <col min="768" max="769" width="8.765625" style="2859" customWidth="1"/>
    <col min="770" max="770" width="10.07421875" style="2859" customWidth="1"/>
    <col min="771" max="771" width="2.07421875" style="2859" customWidth="1"/>
    <col min="772" max="772" width="50.4609375" style="2859" customWidth="1"/>
    <col min="773" max="773" width="8.765625" style="2859"/>
    <col min="774" max="774" width="2.07421875" style="2859" customWidth="1"/>
    <col min="775" max="775" width="23.765625" style="2859" customWidth="1"/>
    <col min="776" max="776" width="2.07421875" style="2859" customWidth="1"/>
    <col min="777" max="777" width="23.765625" style="2859" customWidth="1"/>
    <col min="778" max="778" width="2.07421875" style="2859" customWidth="1"/>
    <col min="779" max="779" width="23.765625" style="2859" customWidth="1"/>
    <col min="780" max="780" width="2.07421875" style="2859" customWidth="1"/>
    <col min="781" max="781" width="23.765625" style="2859" customWidth="1"/>
    <col min="782" max="782" width="2.07421875" style="2859" customWidth="1"/>
    <col min="783" max="783" width="23.765625" style="2859" customWidth="1"/>
    <col min="784" max="784" width="2.765625" style="2859" bestFit="1" customWidth="1"/>
    <col min="785" max="1023" width="8.765625" style="2859"/>
    <col min="1024" max="1025" width="8.765625" style="2859" customWidth="1"/>
    <col min="1026" max="1026" width="10.07421875" style="2859" customWidth="1"/>
    <col min="1027" max="1027" width="2.07421875" style="2859" customWidth="1"/>
    <col min="1028" max="1028" width="50.4609375" style="2859" customWidth="1"/>
    <col min="1029" max="1029" width="8.765625" style="2859"/>
    <col min="1030" max="1030" width="2.07421875" style="2859" customWidth="1"/>
    <col min="1031" max="1031" width="23.765625" style="2859" customWidth="1"/>
    <col min="1032" max="1032" width="2.07421875" style="2859" customWidth="1"/>
    <col min="1033" max="1033" width="23.765625" style="2859" customWidth="1"/>
    <col min="1034" max="1034" width="2.07421875" style="2859" customWidth="1"/>
    <col min="1035" max="1035" width="23.765625" style="2859" customWidth="1"/>
    <col min="1036" max="1036" width="2.07421875" style="2859" customWidth="1"/>
    <col min="1037" max="1037" width="23.765625" style="2859" customWidth="1"/>
    <col min="1038" max="1038" width="2.07421875" style="2859" customWidth="1"/>
    <col min="1039" max="1039" width="23.765625" style="2859" customWidth="1"/>
    <col min="1040" max="1040" width="2.765625" style="2859" bestFit="1" customWidth="1"/>
    <col min="1041" max="1279" width="8.765625" style="2859"/>
    <col min="1280" max="1281" width="8.765625" style="2859" customWidth="1"/>
    <col min="1282" max="1282" width="10.07421875" style="2859" customWidth="1"/>
    <col min="1283" max="1283" width="2.07421875" style="2859" customWidth="1"/>
    <col min="1284" max="1284" width="50.4609375" style="2859" customWidth="1"/>
    <col min="1285" max="1285" width="8.765625" style="2859"/>
    <col min="1286" max="1286" width="2.07421875" style="2859" customWidth="1"/>
    <col min="1287" max="1287" width="23.765625" style="2859" customWidth="1"/>
    <col min="1288" max="1288" width="2.07421875" style="2859" customWidth="1"/>
    <col min="1289" max="1289" width="23.765625" style="2859" customWidth="1"/>
    <col min="1290" max="1290" width="2.07421875" style="2859" customWidth="1"/>
    <col min="1291" max="1291" width="23.765625" style="2859" customWidth="1"/>
    <col min="1292" max="1292" width="2.07421875" style="2859" customWidth="1"/>
    <col min="1293" max="1293" width="23.765625" style="2859" customWidth="1"/>
    <col min="1294" max="1294" width="2.07421875" style="2859" customWidth="1"/>
    <col min="1295" max="1295" width="23.765625" style="2859" customWidth="1"/>
    <col min="1296" max="1296" width="2.765625" style="2859" bestFit="1" customWidth="1"/>
    <col min="1297" max="1535" width="8.765625" style="2859"/>
    <col min="1536" max="1537" width="8.765625" style="2859" customWidth="1"/>
    <col min="1538" max="1538" width="10.07421875" style="2859" customWidth="1"/>
    <col min="1539" max="1539" width="2.07421875" style="2859" customWidth="1"/>
    <col min="1540" max="1540" width="50.4609375" style="2859" customWidth="1"/>
    <col min="1541" max="1541" width="8.765625" style="2859"/>
    <col min="1542" max="1542" width="2.07421875" style="2859" customWidth="1"/>
    <col min="1543" max="1543" width="23.765625" style="2859" customWidth="1"/>
    <col min="1544" max="1544" width="2.07421875" style="2859" customWidth="1"/>
    <col min="1545" max="1545" width="23.765625" style="2859" customWidth="1"/>
    <col min="1546" max="1546" width="2.07421875" style="2859" customWidth="1"/>
    <col min="1547" max="1547" width="23.765625" style="2859" customWidth="1"/>
    <col min="1548" max="1548" width="2.07421875" style="2859" customWidth="1"/>
    <col min="1549" max="1549" width="23.765625" style="2859" customWidth="1"/>
    <col min="1550" max="1550" width="2.07421875" style="2859" customWidth="1"/>
    <col min="1551" max="1551" width="23.765625" style="2859" customWidth="1"/>
    <col min="1552" max="1552" width="2.765625" style="2859" bestFit="1" customWidth="1"/>
    <col min="1553" max="1791" width="8.765625" style="2859"/>
    <col min="1792" max="1793" width="8.765625" style="2859" customWidth="1"/>
    <col min="1794" max="1794" width="10.07421875" style="2859" customWidth="1"/>
    <col min="1795" max="1795" width="2.07421875" style="2859" customWidth="1"/>
    <col min="1796" max="1796" width="50.4609375" style="2859" customWidth="1"/>
    <col min="1797" max="1797" width="8.765625" style="2859"/>
    <col min="1798" max="1798" width="2.07421875" style="2859" customWidth="1"/>
    <col min="1799" max="1799" width="23.765625" style="2859" customWidth="1"/>
    <col min="1800" max="1800" width="2.07421875" style="2859" customWidth="1"/>
    <col min="1801" max="1801" width="23.765625" style="2859" customWidth="1"/>
    <col min="1802" max="1802" width="2.07421875" style="2859" customWidth="1"/>
    <col min="1803" max="1803" width="23.765625" style="2859" customWidth="1"/>
    <col min="1804" max="1804" width="2.07421875" style="2859" customWidth="1"/>
    <col min="1805" max="1805" width="23.765625" style="2859" customWidth="1"/>
    <col min="1806" max="1806" width="2.07421875" style="2859" customWidth="1"/>
    <col min="1807" max="1807" width="23.765625" style="2859" customWidth="1"/>
    <col min="1808" max="1808" width="2.765625" style="2859" bestFit="1" customWidth="1"/>
    <col min="1809" max="2047" width="8.765625" style="2859"/>
    <col min="2048" max="2049" width="8.765625" style="2859" customWidth="1"/>
    <col min="2050" max="2050" width="10.07421875" style="2859" customWidth="1"/>
    <col min="2051" max="2051" width="2.07421875" style="2859" customWidth="1"/>
    <col min="2052" max="2052" width="50.4609375" style="2859" customWidth="1"/>
    <col min="2053" max="2053" width="8.765625" style="2859"/>
    <col min="2054" max="2054" width="2.07421875" style="2859" customWidth="1"/>
    <col min="2055" max="2055" width="23.765625" style="2859" customWidth="1"/>
    <col min="2056" max="2056" width="2.07421875" style="2859" customWidth="1"/>
    <col min="2057" max="2057" width="23.765625" style="2859" customWidth="1"/>
    <col min="2058" max="2058" width="2.07421875" style="2859" customWidth="1"/>
    <col min="2059" max="2059" width="23.765625" style="2859" customWidth="1"/>
    <col min="2060" max="2060" width="2.07421875" style="2859" customWidth="1"/>
    <col min="2061" max="2061" width="23.765625" style="2859" customWidth="1"/>
    <col min="2062" max="2062" width="2.07421875" style="2859" customWidth="1"/>
    <col min="2063" max="2063" width="23.765625" style="2859" customWidth="1"/>
    <col min="2064" max="2064" width="2.765625" style="2859" bestFit="1" customWidth="1"/>
    <col min="2065" max="2303" width="8.765625" style="2859"/>
    <col min="2304" max="2305" width="8.765625" style="2859" customWidth="1"/>
    <col min="2306" max="2306" width="10.07421875" style="2859" customWidth="1"/>
    <col min="2307" max="2307" width="2.07421875" style="2859" customWidth="1"/>
    <col min="2308" max="2308" width="50.4609375" style="2859" customWidth="1"/>
    <col min="2309" max="2309" width="8.765625" style="2859"/>
    <col min="2310" max="2310" width="2.07421875" style="2859" customWidth="1"/>
    <col min="2311" max="2311" width="23.765625" style="2859" customWidth="1"/>
    <col min="2312" max="2312" width="2.07421875" style="2859" customWidth="1"/>
    <col min="2313" max="2313" width="23.765625" style="2859" customWidth="1"/>
    <col min="2314" max="2314" width="2.07421875" style="2859" customWidth="1"/>
    <col min="2315" max="2315" width="23.765625" style="2859" customWidth="1"/>
    <col min="2316" max="2316" width="2.07421875" style="2859" customWidth="1"/>
    <col min="2317" max="2317" width="23.765625" style="2859" customWidth="1"/>
    <col min="2318" max="2318" width="2.07421875" style="2859" customWidth="1"/>
    <col min="2319" max="2319" width="23.765625" style="2859" customWidth="1"/>
    <col min="2320" max="2320" width="2.765625" style="2859" bestFit="1" customWidth="1"/>
    <col min="2321" max="2559" width="8.765625" style="2859"/>
    <col min="2560" max="2561" width="8.765625" style="2859" customWidth="1"/>
    <col min="2562" max="2562" width="10.07421875" style="2859" customWidth="1"/>
    <col min="2563" max="2563" width="2.07421875" style="2859" customWidth="1"/>
    <col min="2564" max="2564" width="50.4609375" style="2859" customWidth="1"/>
    <col min="2565" max="2565" width="8.765625" style="2859"/>
    <col min="2566" max="2566" width="2.07421875" style="2859" customWidth="1"/>
    <col min="2567" max="2567" width="23.765625" style="2859" customWidth="1"/>
    <col min="2568" max="2568" width="2.07421875" style="2859" customWidth="1"/>
    <col min="2569" max="2569" width="23.765625" style="2859" customWidth="1"/>
    <col min="2570" max="2570" width="2.07421875" style="2859" customWidth="1"/>
    <col min="2571" max="2571" width="23.765625" style="2859" customWidth="1"/>
    <col min="2572" max="2572" width="2.07421875" style="2859" customWidth="1"/>
    <col min="2573" max="2573" width="23.765625" style="2859" customWidth="1"/>
    <col min="2574" max="2574" width="2.07421875" style="2859" customWidth="1"/>
    <col min="2575" max="2575" width="23.765625" style="2859" customWidth="1"/>
    <col min="2576" max="2576" width="2.765625" style="2859" bestFit="1" customWidth="1"/>
    <col min="2577" max="2815" width="8.765625" style="2859"/>
    <col min="2816" max="2817" width="8.765625" style="2859" customWidth="1"/>
    <col min="2818" max="2818" width="10.07421875" style="2859" customWidth="1"/>
    <col min="2819" max="2819" width="2.07421875" style="2859" customWidth="1"/>
    <col min="2820" max="2820" width="50.4609375" style="2859" customWidth="1"/>
    <col min="2821" max="2821" width="8.765625" style="2859"/>
    <col min="2822" max="2822" width="2.07421875" style="2859" customWidth="1"/>
    <col min="2823" max="2823" width="23.765625" style="2859" customWidth="1"/>
    <col min="2824" max="2824" width="2.07421875" style="2859" customWidth="1"/>
    <col min="2825" max="2825" width="23.765625" style="2859" customWidth="1"/>
    <col min="2826" max="2826" width="2.07421875" style="2859" customWidth="1"/>
    <col min="2827" max="2827" width="23.765625" style="2859" customWidth="1"/>
    <col min="2828" max="2828" width="2.07421875" style="2859" customWidth="1"/>
    <col min="2829" max="2829" width="23.765625" style="2859" customWidth="1"/>
    <col min="2830" max="2830" width="2.07421875" style="2859" customWidth="1"/>
    <col min="2831" max="2831" width="23.765625" style="2859" customWidth="1"/>
    <col min="2832" max="2832" width="2.765625" style="2859" bestFit="1" customWidth="1"/>
    <col min="2833" max="3071" width="8.765625" style="2859"/>
    <col min="3072" max="3073" width="8.765625" style="2859" customWidth="1"/>
    <col min="3074" max="3074" width="10.07421875" style="2859" customWidth="1"/>
    <col min="3075" max="3075" width="2.07421875" style="2859" customWidth="1"/>
    <col min="3076" max="3076" width="50.4609375" style="2859" customWidth="1"/>
    <col min="3077" max="3077" width="8.765625" style="2859"/>
    <col min="3078" max="3078" width="2.07421875" style="2859" customWidth="1"/>
    <col min="3079" max="3079" width="23.765625" style="2859" customWidth="1"/>
    <col min="3080" max="3080" width="2.07421875" style="2859" customWidth="1"/>
    <col min="3081" max="3081" width="23.765625" style="2859" customWidth="1"/>
    <col min="3082" max="3082" width="2.07421875" style="2859" customWidth="1"/>
    <col min="3083" max="3083" width="23.765625" style="2859" customWidth="1"/>
    <col min="3084" max="3084" width="2.07421875" style="2859" customWidth="1"/>
    <col min="3085" max="3085" width="23.765625" style="2859" customWidth="1"/>
    <col min="3086" max="3086" width="2.07421875" style="2859" customWidth="1"/>
    <col min="3087" max="3087" width="23.765625" style="2859" customWidth="1"/>
    <col min="3088" max="3088" width="2.765625" style="2859" bestFit="1" customWidth="1"/>
    <col min="3089" max="3327" width="8.765625" style="2859"/>
    <col min="3328" max="3329" width="8.765625" style="2859" customWidth="1"/>
    <col min="3330" max="3330" width="10.07421875" style="2859" customWidth="1"/>
    <col min="3331" max="3331" width="2.07421875" style="2859" customWidth="1"/>
    <col min="3332" max="3332" width="50.4609375" style="2859" customWidth="1"/>
    <col min="3333" max="3333" width="8.765625" style="2859"/>
    <col min="3334" max="3334" width="2.07421875" style="2859" customWidth="1"/>
    <col min="3335" max="3335" width="23.765625" style="2859" customWidth="1"/>
    <col min="3336" max="3336" width="2.07421875" style="2859" customWidth="1"/>
    <col min="3337" max="3337" width="23.765625" style="2859" customWidth="1"/>
    <col min="3338" max="3338" width="2.07421875" style="2859" customWidth="1"/>
    <col min="3339" max="3339" width="23.765625" style="2859" customWidth="1"/>
    <col min="3340" max="3340" width="2.07421875" style="2859" customWidth="1"/>
    <col min="3341" max="3341" width="23.765625" style="2859" customWidth="1"/>
    <col min="3342" max="3342" width="2.07421875" style="2859" customWidth="1"/>
    <col min="3343" max="3343" width="23.765625" style="2859" customWidth="1"/>
    <col min="3344" max="3344" width="2.765625" style="2859" bestFit="1" customWidth="1"/>
    <col min="3345" max="3583" width="8.765625" style="2859"/>
    <col min="3584" max="3585" width="8.765625" style="2859" customWidth="1"/>
    <col min="3586" max="3586" width="10.07421875" style="2859" customWidth="1"/>
    <col min="3587" max="3587" width="2.07421875" style="2859" customWidth="1"/>
    <col min="3588" max="3588" width="50.4609375" style="2859" customWidth="1"/>
    <col min="3589" max="3589" width="8.765625" style="2859"/>
    <col min="3590" max="3590" width="2.07421875" style="2859" customWidth="1"/>
    <col min="3591" max="3591" width="23.765625" style="2859" customWidth="1"/>
    <col min="3592" max="3592" width="2.07421875" style="2859" customWidth="1"/>
    <col min="3593" max="3593" width="23.765625" style="2859" customWidth="1"/>
    <col min="3594" max="3594" width="2.07421875" style="2859" customWidth="1"/>
    <col min="3595" max="3595" width="23.765625" style="2859" customWidth="1"/>
    <col min="3596" max="3596" width="2.07421875" style="2859" customWidth="1"/>
    <col min="3597" max="3597" width="23.765625" style="2859" customWidth="1"/>
    <col min="3598" max="3598" width="2.07421875" style="2859" customWidth="1"/>
    <col min="3599" max="3599" width="23.765625" style="2859" customWidth="1"/>
    <col min="3600" max="3600" width="2.765625" style="2859" bestFit="1" customWidth="1"/>
    <col min="3601" max="3839" width="8.765625" style="2859"/>
    <col min="3840" max="3841" width="8.765625" style="2859" customWidth="1"/>
    <col min="3842" max="3842" width="10.07421875" style="2859" customWidth="1"/>
    <col min="3843" max="3843" width="2.07421875" style="2859" customWidth="1"/>
    <col min="3844" max="3844" width="50.4609375" style="2859" customWidth="1"/>
    <col min="3845" max="3845" width="8.765625" style="2859"/>
    <col min="3846" max="3846" width="2.07421875" style="2859" customWidth="1"/>
    <col min="3847" max="3847" width="23.765625" style="2859" customWidth="1"/>
    <col min="3848" max="3848" width="2.07421875" style="2859" customWidth="1"/>
    <col min="3849" max="3849" width="23.765625" style="2859" customWidth="1"/>
    <col min="3850" max="3850" width="2.07421875" style="2859" customWidth="1"/>
    <col min="3851" max="3851" width="23.765625" style="2859" customWidth="1"/>
    <col min="3852" max="3852" width="2.07421875" style="2859" customWidth="1"/>
    <col min="3853" max="3853" width="23.765625" style="2859" customWidth="1"/>
    <col min="3854" max="3854" width="2.07421875" style="2859" customWidth="1"/>
    <col min="3855" max="3855" width="23.765625" style="2859" customWidth="1"/>
    <col min="3856" max="3856" width="2.765625" style="2859" bestFit="1" customWidth="1"/>
    <col min="3857" max="4095" width="8.765625" style="2859"/>
    <col min="4096" max="4097" width="8.765625" style="2859" customWidth="1"/>
    <col min="4098" max="4098" width="10.07421875" style="2859" customWidth="1"/>
    <col min="4099" max="4099" width="2.07421875" style="2859" customWidth="1"/>
    <col min="4100" max="4100" width="50.4609375" style="2859" customWidth="1"/>
    <col min="4101" max="4101" width="8.765625" style="2859"/>
    <col min="4102" max="4102" width="2.07421875" style="2859" customWidth="1"/>
    <col min="4103" max="4103" width="23.765625" style="2859" customWidth="1"/>
    <col min="4104" max="4104" width="2.07421875" style="2859" customWidth="1"/>
    <col min="4105" max="4105" width="23.765625" style="2859" customWidth="1"/>
    <col min="4106" max="4106" width="2.07421875" style="2859" customWidth="1"/>
    <col min="4107" max="4107" width="23.765625" style="2859" customWidth="1"/>
    <col min="4108" max="4108" width="2.07421875" style="2859" customWidth="1"/>
    <col min="4109" max="4109" width="23.765625" style="2859" customWidth="1"/>
    <col min="4110" max="4110" width="2.07421875" style="2859" customWidth="1"/>
    <col min="4111" max="4111" width="23.765625" style="2859" customWidth="1"/>
    <col min="4112" max="4112" width="2.765625" style="2859" bestFit="1" customWidth="1"/>
    <col min="4113" max="4351" width="8.765625" style="2859"/>
    <col min="4352" max="4353" width="8.765625" style="2859" customWidth="1"/>
    <col min="4354" max="4354" width="10.07421875" style="2859" customWidth="1"/>
    <col min="4355" max="4355" width="2.07421875" style="2859" customWidth="1"/>
    <col min="4356" max="4356" width="50.4609375" style="2859" customWidth="1"/>
    <col min="4357" max="4357" width="8.765625" style="2859"/>
    <col min="4358" max="4358" width="2.07421875" style="2859" customWidth="1"/>
    <col min="4359" max="4359" width="23.765625" style="2859" customWidth="1"/>
    <col min="4360" max="4360" width="2.07421875" style="2859" customWidth="1"/>
    <col min="4361" max="4361" width="23.765625" style="2859" customWidth="1"/>
    <col min="4362" max="4362" width="2.07421875" style="2859" customWidth="1"/>
    <col min="4363" max="4363" width="23.765625" style="2859" customWidth="1"/>
    <col min="4364" max="4364" width="2.07421875" style="2859" customWidth="1"/>
    <col min="4365" max="4365" width="23.765625" style="2859" customWidth="1"/>
    <col min="4366" max="4366" width="2.07421875" style="2859" customWidth="1"/>
    <col min="4367" max="4367" width="23.765625" style="2859" customWidth="1"/>
    <col min="4368" max="4368" width="2.765625" style="2859" bestFit="1" customWidth="1"/>
    <col min="4369" max="4607" width="8.765625" style="2859"/>
    <col min="4608" max="4609" width="8.765625" style="2859" customWidth="1"/>
    <col min="4610" max="4610" width="10.07421875" style="2859" customWidth="1"/>
    <col min="4611" max="4611" width="2.07421875" style="2859" customWidth="1"/>
    <col min="4612" max="4612" width="50.4609375" style="2859" customWidth="1"/>
    <col min="4613" max="4613" width="8.765625" style="2859"/>
    <col min="4614" max="4614" width="2.07421875" style="2859" customWidth="1"/>
    <col min="4615" max="4615" width="23.765625" style="2859" customWidth="1"/>
    <col min="4616" max="4616" width="2.07421875" style="2859" customWidth="1"/>
    <col min="4617" max="4617" width="23.765625" style="2859" customWidth="1"/>
    <col min="4618" max="4618" width="2.07421875" style="2859" customWidth="1"/>
    <col min="4619" max="4619" width="23.765625" style="2859" customWidth="1"/>
    <col min="4620" max="4620" width="2.07421875" style="2859" customWidth="1"/>
    <col min="4621" max="4621" width="23.765625" style="2859" customWidth="1"/>
    <col min="4622" max="4622" width="2.07421875" style="2859" customWidth="1"/>
    <col min="4623" max="4623" width="23.765625" style="2859" customWidth="1"/>
    <col min="4624" max="4624" width="2.765625" style="2859" bestFit="1" customWidth="1"/>
    <col min="4625" max="4863" width="8.765625" style="2859"/>
    <col min="4864" max="4865" width="8.765625" style="2859" customWidth="1"/>
    <col min="4866" max="4866" width="10.07421875" style="2859" customWidth="1"/>
    <col min="4867" max="4867" width="2.07421875" style="2859" customWidth="1"/>
    <col min="4868" max="4868" width="50.4609375" style="2859" customWidth="1"/>
    <col min="4869" max="4869" width="8.765625" style="2859"/>
    <col min="4870" max="4870" width="2.07421875" style="2859" customWidth="1"/>
    <col min="4871" max="4871" width="23.765625" style="2859" customWidth="1"/>
    <col min="4872" max="4872" width="2.07421875" style="2859" customWidth="1"/>
    <col min="4873" max="4873" width="23.765625" style="2859" customWidth="1"/>
    <col min="4874" max="4874" width="2.07421875" style="2859" customWidth="1"/>
    <col min="4875" max="4875" width="23.765625" style="2859" customWidth="1"/>
    <col min="4876" max="4876" width="2.07421875" style="2859" customWidth="1"/>
    <col min="4877" max="4877" width="23.765625" style="2859" customWidth="1"/>
    <col min="4878" max="4878" width="2.07421875" style="2859" customWidth="1"/>
    <col min="4879" max="4879" width="23.765625" style="2859" customWidth="1"/>
    <col min="4880" max="4880" width="2.765625" style="2859" bestFit="1" customWidth="1"/>
    <col min="4881" max="5119" width="8.765625" style="2859"/>
    <col min="5120" max="5121" width="8.765625" style="2859" customWidth="1"/>
    <col min="5122" max="5122" width="10.07421875" style="2859" customWidth="1"/>
    <col min="5123" max="5123" width="2.07421875" style="2859" customWidth="1"/>
    <col min="5124" max="5124" width="50.4609375" style="2859" customWidth="1"/>
    <col min="5125" max="5125" width="8.765625" style="2859"/>
    <col min="5126" max="5126" width="2.07421875" style="2859" customWidth="1"/>
    <col min="5127" max="5127" width="23.765625" style="2859" customWidth="1"/>
    <col min="5128" max="5128" width="2.07421875" style="2859" customWidth="1"/>
    <col min="5129" max="5129" width="23.765625" style="2859" customWidth="1"/>
    <col min="5130" max="5130" width="2.07421875" style="2859" customWidth="1"/>
    <col min="5131" max="5131" width="23.765625" style="2859" customWidth="1"/>
    <col min="5132" max="5132" width="2.07421875" style="2859" customWidth="1"/>
    <col min="5133" max="5133" width="23.765625" style="2859" customWidth="1"/>
    <col min="5134" max="5134" width="2.07421875" style="2859" customWidth="1"/>
    <col min="5135" max="5135" width="23.765625" style="2859" customWidth="1"/>
    <col min="5136" max="5136" width="2.765625" style="2859" bestFit="1" customWidth="1"/>
    <col min="5137" max="5375" width="8.765625" style="2859"/>
    <col min="5376" max="5377" width="8.765625" style="2859" customWidth="1"/>
    <col min="5378" max="5378" width="10.07421875" style="2859" customWidth="1"/>
    <col min="5379" max="5379" width="2.07421875" style="2859" customWidth="1"/>
    <col min="5380" max="5380" width="50.4609375" style="2859" customWidth="1"/>
    <col min="5381" max="5381" width="8.765625" style="2859"/>
    <col min="5382" max="5382" width="2.07421875" style="2859" customWidth="1"/>
    <col min="5383" max="5383" width="23.765625" style="2859" customWidth="1"/>
    <col min="5384" max="5384" width="2.07421875" style="2859" customWidth="1"/>
    <col min="5385" max="5385" width="23.765625" style="2859" customWidth="1"/>
    <col min="5386" max="5386" width="2.07421875" style="2859" customWidth="1"/>
    <col min="5387" max="5387" width="23.765625" style="2859" customWidth="1"/>
    <col min="5388" max="5388" width="2.07421875" style="2859" customWidth="1"/>
    <col min="5389" max="5389" width="23.765625" style="2859" customWidth="1"/>
    <col min="5390" max="5390" width="2.07421875" style="2859" customWidth="1"/>
    <col min="5391" max="5391" width="23.765625" style="2859" customWidth="1"/>
    <col min="5392" max="5392" width="2.765625" style="2859" bestFit="1" customWidth="1"/>
    <col min="5393" max="5631" width="8.765625" style="2859"/>
    <col min="5632" max="5633" width="8.765625" style="2859" customWidth="1"/>
    <col min="5634" max="5634" width="10.07421875" style="2859" customWidth="1"/>
    <col min="5635" max="5635" width="2.07421875" style="2859" customWidth="1"/>
    <col min="5636" max="5636" width="50.4609375" style="2859" customWidth="1"/>
    <col min="5637" max="5637" width="8.765625" style="2859"/>
    <col min="5638" max="5638" width="2.07421875" style="2859" customWidth="1"/>
    <col min="5639" max="5639" width="23.765625" style="2859" customWidth="1"/>
    <col min="5640" max="5640" width="2.07421875" style="2859" customWidth="1"/>
    <col min="5641" max="5641" width="23.765625" style="2859" customWidth="1"/>
    <col min="5642" max="5642" width="2.07421875" style="2859" customWidth="1"/>
    <col min="5643" max="5643" width="23.765625" style="2859" customWidth="1"/>
    <col min="5644" max="5644" width="2.07421875" style="2859" customWidth="1"/>
    <col min="5645" max="5645" width="23.765625" style="2859" customWidth="1"/>
    <col min="5646" max="5646" width="2.07421875" style="2859" customWidth="1"/>
    <col min="5647" max="5647" width="23.765625" style="2859" customWidth="1"/>
    <col min="5648" max="5648" width="2.765625" style="2859" bestFit="1" customWidth="1"/>
    <col min="5649" max="5887" width="8.765625" style="2859"/>
    <col min="5888" max="5889" width="8.765625" style="2859" customWidth="1"/>
    <col min="5890" max="5890" width="10.07421875" style="2859" customWidth="1"/>
    <col min="5891" max="5891" width="2.07421875" style="2859" customWidth="1"/>
    <col min="5892" max="5892" width="50.4609375" style="2859" customWidth="1"/>
    <col min="5893" max="5893" width="8.765625" style="2859"/>
    <col min="5894" max="5894" width="2.07421875" style="2859" customWidth="1"/>
    <col min="5895" max="5895" width="23.765625" style="2859" customWidth="1"/>
    <col min="5896" max="5896" width="2.07421875" style="2859" customWidth="1"/>
    <col min="5897" max="5897" width="23.765625" style="2859" customWidth="1"/>
    <col min="5898" max="5898" width="2.07421875" style="2859" customWidth="1"/>
    <col min="5899" max="5899" width="23.765625" style="2859" customWidth="1"/>
    <col min="5900" max="5900" width="2.07421875" style="2859" customWidth="1"/>
    <col min="5901" max="5901" width="23.765625" style="2859" customWidth="1"/>
    <col min="5902" max="5902" width="2.07421875" style="2859" customWidth="1"/>
    <col min="5903" max="5903" width="23.765625" style="2859" customWidth="1"/>
    <col min="5904" max="5904" width="2.765625" style="2859" bestFit="1" customWidth="1"/>
    <col min="5905" max="6143" width="8.765625" style="2859"/>
    <col min="6144" max="6145" width="8.765625" style="2859" customWidth="1"/>
    <col min="6146" max="6146" width="10.07421875" style="2859" customWidth="1"/>
    <col min="6147" max="6147" width="2.07421875" style="2859" customWidth="1"/>
    <col min="6148" max="6148" width="50.4609375" style="2859" customWidth="1"/>
    <col min="6149" max="6149" width="8.765625" style="2859"/>
    <col min="6150" max="6150" width="2.07421875" style="2859" customWidth="1"/>
    <col min="6151" max="6151" width="23.765625" style="2859" customWidth="1"/>
    <col min="6152" max="6152" width="2.07421875" style="2859" customWidth="1"/>
    <col min="6153" max="6153" width="23.765625" style="2859" customWidth="1"/>
    <col min="6154" max="6154" width="2.07421875" style="2859" customWidth="1"/>
    <col min="6155" max="6155" width="23.765625" style="2859" customWidth="1"/>
    <col min="6156" max="6156" width="2.07421875" style="2859" customWidth="1"/>
    <col min="6157" max="6157" width="23.765625" style="2859" customWidth="1"/>
    <col min="6158" max="6158" width="2.07421875" style="2859" customWidth="1"/>
    <col min="6159" max="6159" width="23.765625" style="2859" customWidth="1"/>
    <col min="6160" max="6160" width="2.765625" style="2859" bestFit="1" customWidth="1"/>
    <col min="6161" max="6399" width="8.765625" style="2859"/>
    <col min="6400" max="6401" width="8.765625" style="2859" customWidth="1"/>
    <col min="6402" max="6402" width="10.07421875" style="2859" customWidth="1"/>
    <col min="6403" max="6403" width="2.07421875" style="2859" customWidth="1"/>
    <col min="6404" max="6404" width="50.4609375" style="2859" customWidth="1"/>
    <col min="6405" max="6405" width="8.765625" style="2859"/>
    <col min="6406" max="6406" width="2.07421875" style="2859" customWidth="1"/>
    <col min="6407" max="6407" width="23.765625" style="2859" customWidth="1"/>
    <col min="6408" max="6408" width="2.07421875" style="2859" customWidth="1"/>
    <col min="6409" max="6409" width="23.765625" style="2859" customWidth="1"/>
    <col min="6410" max="6410" width="2.07421875" style="2859" customWidth="1"/>
    <col min="6411" max="6411" width="23.765625" style="2859" customWidth="1"/>
    <col min="6412" max="6412" width="2.07421875" style="2859" customWidth="1"/>
    <col min="6413" max="6413" width="23.765625" style="2859" customWidth="1"/>
    <col min="6414" max="6414" width="2.07421875" style="2859" customWidth="1"/>
    <col min="6415" max="6415" width="23.765625" style="2859" customWidth="1"/>
    <col min="6416" max="6416" width="2.765625" style="2859" bestFit="1" customWidth="1"/>
    <col min="6417" max="6655" width="8.765625" style="2859"/>
    <col min="6656" max="6657" width="8.765625" style="2859" customWidth="1"/>
    <col min="6658" max="6658" width="10.07421875" style="2859" customWidth="1"/>
    <col min="6659" max="6659" width="2.07421875" style="2859" customWidth="1"/>
    <col min="6660" max="6660" width="50.4609375" style="2859" customWidth="1"/>
    <col min="6661" max="6661" width="8.765625" style="2859"/>
    <col min="6662" max="6662" width="2.07421875" style="2859" customWidth="1"/>
    <col min="6663" max="6663" width="23.765625" style="2859" customWidth="1"/>
    <col min="6664" max="6664" width="2.07421875" style="2859" customWidth="1"/>
    <col min="6665" max="6665" width="23.765625" style="2859" customWidth="1"/>
    <col min="6666" max="6666" width="2.07421875" style="2859" customWidth="1"/>
    <col min="6667" max="6667" width="23.765625" style="2859" customWidth="1"/>
    <col min="6668" max="6668" width="2.07421875" style="2859" customWidth="1"/>
    <col min="6669" max="6669" width="23.765625" style="2859" customWidth="1"/>
    <col min="6670" max="6670" width="2.07421875" style="2859" customWidth="1"/>
    <col min="6671" max="6671" width="23.765625" style="2859" customWidth="1"/>
    <col min="6672" max="6672" width="2.765625" style="2859" bestFit="1" customWidth="1"/>
    <col min="6673" max="6911" width="8.765625" style="2859"/>
    <col min="6912" max="6913" width="8.765625" style="2859" customWidth="1"/>
    <col min="6914" max="6914" width="10.07421875" style="2859" customWidth="1"/>
    <col min="6915" max="6915" width="2.07421875" style="2859" customWidth="1"/>
    <col min="6916" max="6916" width="50.4609375" style="2859" customWidth="1"/>
    <col min="6917" max="6917" width="8.765625" style="2859"/>
    <col min="6918" max="6918" width="2.07421875" style="2859" customWidth="1"/>
    <col min="6919" max="6919" width="23.765625" style="2859" customWidth="1"/>
    <col min="6920" max="6920" width="2.07421875" style="2859" customWidth="1"/>
    <col min="6921" max="6921" width="23.765625" style="2859" customWidth="1"/>
    <col min="6922" max="6922" width="2.07421875" style="2859" customWidth="1"/>
    <col min="6923" max="6923" width="23.765625" style="2859" customWidth="1"/>
    <col min="6924" max="6924" width="2.07421875" style="2859" customWidth="1"/>
    <col min="6925" max="6925" width="23.765625" style="2859" customWidth="1"/>
    <col min="6926" max="6926" width="2.07421875" style="2859" customWidth="1"/>
    <col min="6927" max="6927" width="23.765625" style="2859" customWidth="1"/>
    <col min="6928" max="6928" width="2.765625" style="2859" bestFit="1" customWidth="1"/>
    <col min="6929" max="7167" width="8.765625" style="2859"/>
    <col min="7168" max="7169" width="8.765625" style="2859" customWidth="1"/>
    <col min="7170" max="7170" width="10.07421875" style="2859" customWidth="1"/>
    <col min="7171" max="7171" width="2.07421875" style="2859" customWidth="1"/>
    <col min="7172" max="7172" width="50.4609375" style="2859" customWidth="1"/>
    <col min="7173" max="7173" width="8.765625" style="2859"/>
    <col min="7174" max="7174" width="2.07421875" style="2859" customWidth="1"/>
    <col min="7175" max="7175" width="23.765625" style="2859" customWidth="1"/>
    <col min="7176" max="7176" width="2.07421875" style="2859" customWidth="1"/>
    <col min="7177" max="7177" width="23.765625" style="2859" customWidth="1"/>
    <col min="7178" max="7178" width="2.07421875" style="2859" customWidth="1"/>
    <col min="7179" max="7179" width="23.765625" style="2859" customWidth="1"/>
    <col min="7180" max="7180" width="2.07421875" style="2859" customWidth="1"/>
    <col min="7181" max="7181" width="23.765625" style="2859" customWidth="1"/>
    <col min="7182" max="7182" width="2.07421875" style="2859" customWidth="1"/>
    <col min="7183" max="7183" width="23.765625" style="2859" customWidth="1"/>
    <col min="7184" max="7184" width="2.765625" style="2859" bestFit="1" customWidth="1"/>
    <col min="7185" max="7423" width="8.765625" style="2859"/>
    <col min="7424" max="7425" width="8.765625" style="2859" customWidth="1"/>
    <col min="7426" max="7426" width="10.07421875" style="2859" customWidth="1"/>
    <col min="7427" max="7427" width="2.07421875" style="2859" customWidth="1"/>
    <col min="7428" max="7428" width="50.4609375" style="2859" customWidth="1"/>
    <col min="7429" max="7429" width="8.765625" style="2859"/>
    <col min="7430" max="7430" width="2.07421875" style="2859" customWidth="1"/>
    <col min="7431" max="7431" width="23.765625" style="2859" customWidth="1"/>
    <col min="7432" max="7432" width="2.07421875" style="2859" customWidth="1"/>
    <col min="7433" max="7433" width="23.765625" style="2859" customWidth="1"/>
    <col min="7434" max="7434" width="2.07421875" style="2859" customWidth="1"/>
    <col min="7435" max="7435" width="23.765625" style="2859" customWidth="1"/>
    <col min="7436" max="7436" width="2.07421875" style="2859" customWidth="1"/>
    <col min="7437" max="7437" width="23.765625" style="2859" customWidth="1"/>
    <col min="7438" max="7438" width="2.07421875" style="2859" customWidth="1"/>
    <col min="7439" max="7439" width="23.765625" style="2859" customWidth="1"/>
    <col min="7440" max="7440" width="2.765625" style="2859" bestFit="1" customWidth="1"/>
    <col min="7441" max="7679" width="8.765625" style="2859"/>
    <col min="7680" max="7681" width="8.765625" style="2859" customWidth="1"/>
    <col min="7682" max="7682" width="10.07421875" style="2859" customWidth="1"/>
    <col min="7683" max="7683" width="2.07421875" style="2859" customWidth="1"/>
    <col min="7684" max="7684" width="50.4609375" style="2859" customWidth="1"/>
    <col min="7685" max="7685" width="8.765625" style="2859"/>
    <col min="7686" max="7686" width="2.07421875" style="2859" customWidth="1"/>
    <col min="7687" max="7687" width="23.765625" style="2859" customWidth="1"/>
    <col min="7688" max="7688" width="2.07421875" style="2859" customWidth="1"/>
    <col min="7689" max="7689" width="23.765625" style="2859" customWidth="1"/>
    <col min="7690" max="7690" width="2.07421875" style="2859" customWidth="1"/>
    <col min="7691" max="7691" width="23.765625" style="2859" customWidth="1"/>
    <col min="7692" max="7692" width="2.07421875" style="2859" customWidth="1"/>
    <col min="7693" max="7693" width="23.765625" style="2859" customWidth="1"/>
    <col min="7694" max="7694" width="2.07421875" style="2859" customWidth="1"/>
    <col min="7695" max="7695" width="23.765625" style="2859" customWidth="1"/>
    <col min="7696" max="7696" width="2.765625" style="2859" bestFit="1" customWidth="1"/>
    <col min="7697" max="7935" width="8.765625" style="2859"/>
    <col min="7936" max="7937" width="8.765625" style="2859" customWidth="1"/>
    <col min="7938" max="7938" width="10.07421875" style="2859" customWidth="1"/>
    <col min="7939" max="7939" width="2.07421875" style="2859" customWidth="1"/>
    <col min="7940" max="7940" width="50.4609375" style="2859" customWidth="1"/>
    <col min="7941" max="7941" width="8.765625" style="2859"/>
    <col min="7942" max="7942" width="2.07421875" style="2859" customWidth="1"/>
    <col min="7943" max="7943" width="23.765625" style="2859" customWidth="1"/>
    <col min="7944" max="7944" width="2.07421875" style="2859" customWidth="1"/>
    <col min="7945" max="7945" width="23.765625" style="2859" customWidth="1"/>
    <col min="7946" max="7946" width="2.07421875" style="2859" customWidth="1"/>
    <col min="7947" max="7947" width="23.765625" style="2859" customWidth="1"/>
    <col min="7948" max="7948" width="2.07421875" style="2859" customWidth="1"/>
    <col min="7949" max="7949" width="23.765625" style="2859" customWidth="1"/>
    <col min="7950" max="7950" width="2.07421875" style="2859" customWidth="1"/>
    <col min="7951" max="7951" width="23.765625" style="2859" customWidth="1"/>
    <col min="7952" max="7952" width="2.765625" style="2859" bestFit="1" customWidth="1"/>
    <col min="7953" max="8191" width="8.765625" style="2859"/>
    <col min="8192" max="8193" width="8.765625" style="2859" customWidth="1"/>
    <col min="8194" max="8194" width="10.07421875" style="2859" customWidth="1"/>
    <col min="8195" max="8195" width="2.07421875" style="2859" customWidth="1"/>
    <col min="8196" max="8196" width="50.4609375" style="2859" customWidth="1"/>
    <col min="8197" max="8197" width="8.765625" style="2859"/>
    <col min="8198" max="8198" width="2.07421875" style="2859" customWidth="1"/>
    <col min="8199" max="8199" width="23.765625" style="2859" customWidth="1"/>
    <col min="8200" max="8200" width="2.07421875" style="2859" customWidth="1"/>
    <col min="8201" max="8201" width="23.765625" style="2859" customWidth="1"/>
    <col min="8202" max="8202" width="2.07421875" style="2859" customWidth="1"/>
    <col min="8203" max="8203" width="23.765625" style="2859" customWidth="1"/>
    <col min="8204" max="8204" width="2.07421875" style="2859" customWidth="1"/>
    <col min="8205" max="8205" width="23.765625" style="2859" customWidth="1"/>
    <col min="8206" max="8206" width="2.07421875" style="2859" customWidth="1"/>
    <col min="8207" max="8207" width="23.765625" style="2859" customWidth="1"/>
    <col min="8208" max="8208" width="2.765625" style="2859" bestFit="1" customWidth="1"/>
    <col min="8209" max="8447" width="8.765625" style="2859"/>
    <col min="8448" max="8449" width="8.765625" style="2859" customWidth="1"/>
    <col min="8450" max="8450" width="10.07421875" style="2859" customWidth="1"/>
    <col min="8451" max="8451" width="2.07421875" style="2859" customWidth="1"/>
    <col min="8452" max="8452" width="50.4609375" style="2859" customWidth="1"/>
    <col min="8453" max="8453" width="8.765625" style="2859"/>
    <col min="8454" max="8454" width="2.07421875" style="2859" customWidth="1"/>
    <col min="8455" max="8455" width="23.765625" style="2859" customWidth="1"/>
    <col min="8456" max="8456" width="2.07421875" style="2859" customWidth="1"/>
    <col min="8457" max="8457" width="23.765625" style="2859" customWidth="1"/>
    <col min="8458" max="8458" width="2.07421875" style="2859" customWidth="1"/>
    <col min="8459" max="8459" width="23.765625" style="2859" customWidth="1"/>
    <col min="8460" max="8460" width="2.07421875" style="2859" customWidth="1"/>
    <col min="8461" max="8461" width="23.765625" style="2859" customWidth="1"/>
    <col min="8462" max="8462" width="2.07421875" style="2859" customWidth="1"/>
    <col min="8463" max="8463" width="23.765625" style="2859" customWidth="1"/>
    <col min="8464" max="8464" width="2.765625" style="2859" bestFit="1" customWidth="1"/>
    <col min="8465" max="8703" width="8.765625" style="2859"/>
    <col min="8704" max="8705" width="8.765625" style="2859" customWidth="1"/>
    <col min="8706" max="8706" width="10.07421875" style="2859" customWidth="1"/>
    <col min="8707" max="8707" width="2.07421875" style="2859" customWidth="1"/>
    <col min="8708" max="8708" width="50.4609375" style="2859" customWidth="1"/>
    <col min="8709" max="8709" width="8.765625" style="2859"/>
    <col min="8710" max="8710" width="2.07421875" style="2859" customWidth="1"/>
    <col min="8711" max="8711" width="23.765625" style="2859" customWidth="1"/>
    <col min="8712" max="8712" width="2.07421875" style="2859" customWidth="1"/>
    <col min="8713" max="8713" width="23.765625" style="2859" customWidth="1"/>
    <col min="8714" max="8714" width="2.07421875" style="2859" customWidth="1"/>
    <col min="8715" max="8715" width="23.765625" style="2859" customWidth="1"/>
    <col min="8716" max="8716" width="2.07421875" style="2859" customWidth="1"/>
    <col min="8717" max="8717" width="23.765625" style="2859" customWidth="1"/>
    <col min="8718" max="8718" width="2.07421875" style="2859" customWidth="1"/>
    <col min="8719" max="8719" width="23.765625" style="2859" customWidth="1"/>
    <col min="8720" max="8720" width="2.765625" style="2859" bestFit="1" customWidth="1"/>
    <col min="8721" max="8959" width="8.765625" style="2859"/>
    <col min="8960" max="8961" width="8.765625" style="2859" customWidth="1"/>
    <col min="8962" max="8962" width="10.07421875" style="2859" customWidth="1"/>
    <col min="8963" max="8963" width="2.07421875" style="2859" customWidth="1"/>
    <col min="8964" max="8964" width="50.4609375" style="2859" customWidth="1"/>
    <col min="8965" max="8965" width="8.765625" style="2859"/>
    <col min="8966" max="8966" width="2.07421875" style="2859" customWidth="1"/>
    <col min="8967" max="8967" width="23.765625" style="2859" customWidth="1"/>
    <col min="8968" max="8968" width="2.07421875" style="2859" customWidth="1"/>
    <col min="8969" max="8969" width="23.765625" style="2859" customWidth="1"/>
    <col min="8970" max="8970" width="2.07421875" style="2859" customWidth="1"/>
    <col min="8971" max="8971" width="23.765625" style="2859" customWidth="1"/>
    <col min="8972" max="8972" width="2.07421875" style="2859" customWidth="1"/>
    <col min="8973" max="8973" width="23.765625" style="2859" customWidth="1"/>
    <col min="8974" max="8974" width="2.07421875" style="2859" customWidth="1"/>
    <col min="8975" max="8975" width="23.765625" style="2859" customWidth="1"/>
    <col min="8976" max="8976" width="2.765625" style="2859" bestFit="1" customWidth="1"/>
    <col min="8977" max="9215" width="8.765625" style="2859"/>
    <col min="9216" max="9217" width="8.765625" style="2859" customWidth="1"/>
    <col min="9218" max="9218" width="10.07421875" style="2859" customWidth="1"/>
    <col min="9219" max="9219" width="2.07421875" style="2859" customWidth="1"/>
    <col min="9220" max="9220" width="50.4609375" style="2859" customWidth="1"/>
    <col min="9221" max="9221" width="8.765625" style="2859"/>
    <col min="9222" max="9222" width="2.07421875" style="2859" customWidth="1"/>
    <col min="9223" max="9223" width="23.765625" style="2859" customWidth="1"/>
    <col min="9224" max="9224" width="2.07421875" style="2859" customWidth="1"/>
    <col min="9225" max="9225" width="23.765625" style="2859" customWidth="1"/>
    <col min="9226" max="9226" width="2.07421875" style="2859" customWidth="1"/>
    <col min="9227" max="9227" width="23.765625" style="2859" customWidth="1"/>
    <col min="9228" max="9228" width="2.07421875" style="2859" customWidth="1"/>
    <col min="9229" max="9229" width="23.765625" style="2859" customWidth="1"/>
    <col min="9230" max="9230" width="2.07421875" style="2859" customWidth="1"/>
    <col min="9231" max="9231" width="23.765625" style="2859" customWidth="1"/>
    <col min="9232" max="9232" width="2.765625" style="2859" bestFit="1" customWidth="1"/>
    <col min="9233" max="9471" width="8.765625" style="2859"/>
    <col min="9472" max="9473" width="8.765625" style="2859" customWidth="1"/>
    <col min="9474" max="9474" width="10.07421875" style="2859" customWidth="1"/>
    <col min="9475" max="9475" width="2.07421875" style="2859" customWidth="1"/>
    <col min="9476" max="9476" width="50.4609375" style="2859" customWidth="1"/>
    <col min="9477" max="9477" width="8.765625" style="2859"/>
    <col min="9478" max="9478" width="2.07421875" style="2859" customWidth="1"/>
    <col min="9479" max="9479" width="23.765625" style="2859" customWidth="1"/>
    <col min="9480" max="9480" width="2.07421875" style="2859" customWidth="1"/>
    <col min="9481" max="9481" width="23.765625" style="2859" customWidth="1"/>
    <col min="9482" max="9482" width="2.07421875" style="2859" customWidth="1"/>
    <col min="9483" max="9483" width="23.765625" style="2859" customWidth="1"/>
    <col min="9484" max="9484" width="2.07421875" style="2859" customWidth="1"/>
    <col min="9485" max="9485" width="23.765625" style="2859" customWidth="1"/>
    <col min="9486" max="9486" width="2.07421875" style="2859" customWidth="1"/>
    <col min="9487" max="9487" width="23.765625" style="2859" customWidth="1"/>
    <col min="9488" max="9488" width="2.765625" style="2859" bestFit="1" customWidth="1"/>
    <col min="9489" max="9727" width="8.765625" style="2859"/>
    <col min="9728" max="9729" width="8.765625" style="2859" customWidth="1"/>
    <col min="9730" max="9730" width="10.07421875" style="2859" customWidth="1"/>
    <col min="9731" max="9731" width="2.07421875" style="2859" customWidth="1"/>
    <col min="9732" max="9732" width="50.4609375" style="2859" customWidth="1"/>
    <col min="9733" max="9733" width="8.765625" style="2859"/>
    <col min="9734" max="9734" width="2.07421875" style="2859" customWidth="1"/>
    <col min="9735" max="9735" width="23.765625" style="2859" customWidth="1"/>
    <col min="9736" max="9736" width="2.07421875" style="2859" customWidth="1"/>
    <col min="9737" max="9737" width="23.765625" style="2859" customWidth="1"/>
    <col min="9738" max="9738" width="2.07421875" style="2859" customWidth="1"/>
    <col min="9739" max="9739" width="23.765625" style="2859" customWidth="1"/>
    <col min="9740" max="9740" width="2.07421875" style="2859" customWidth="1"/>
    <col min="9741" max="9741" width="23.765625" style="2859" customWidth="1"/>
    <col min="9742" max="9742" width="2.07421875" style="2859" customWidth="1"/>
    <col min="9743" max="9743" width="23.765625" style="2859" customWidth="1"/>
    <col min="9744" max="9744" width="2.765625" style="2859" bestFit="1" customWidth="1"/>
    <col min="9745" max="9983" width="8.765625" style="2859"/>
    <col min="9984" max="9985" width="8.765625" style="2859" customWidth="1"/>
    <col min="9986" max="9986" width="10.07421875" style="2859" customWidth="1"/>
    <col min="9987" max="9987" width="2.07421875" style="2859" customWidth="1"/>
    <col min="9988" max="9988" width="50.4609375" style="2859" customWidth="1"/>
    <col min="9989" max="9989" width="8.765625" style="2859"/>
    <col min="9990" max="9990" width="2.07421875" style="2859" customWidth="1"/>
    <col min="9991" max="9991" width="23.765625" style="2859" customWidth="1"/>
    <col min="9992" max="9992" width="2.07421875" style="2859" customWidth="1"/>
    <col min="9993" max="9993" width="23.765625" style="2859" customWidth="1"/>
    <col min="9994" max="9994" width="2.07421875" style="2859" customWidth="1"/>
    <col min="9995" max="9995" width="23.765625" style="2859" customWidth="1"/>
    <col min="9996" max="9996" width="2.07421875" style="2859" customWidth="1"/>
    <col min="9997" max="9997" width="23.765625" style="2859" customWidth="1"/>
    <col min="9998" max="9998" width="2.07421875" style="2859" customWidth="1"/>
    <col min="9999" max="9999" width="23.765625" style="2859" customWidth="1"/>
    <col min="10000" max="10000" width="2.765625" style="2859" bestFit="1" customWidth="1"/>
    <col min="10001" max="10239" width="8.765625" style="2859"/>
    <col min="10240" max="10241" width="8.765625" style="2859" customWidth="1"/>
    <col min="10242" max="10242" width="10.07421875" style="2859" customWidth="1"/>
    <col min="10243" max="10243" width="2.07421875" style="2859" customWidth="1"/>
    <col min="10244" max="10244" width="50.4609375" style="2859" customWidth="1"/>
    <col min="10245" max="10245" width="8.765625" style="2859"/>
    <col min="10246" max="10246" width="2.07421875" style="2859" customWidth="1"/>
    <col min="10247" max="10247" width="23.765625" style="2859" customWidth="1"/>
    <col min="10248" max="10248" width="2.07421875" style="2859" customWidth="1"/>
    <col min="10249" max="10249" width="23.765625" style="2859" customWidth="1"/>
    <col min="10250" max="10250" width="2.07421875" style="2859" customWidth="1"/>
    <col min="10251" max="10251" width="23.765625" style="2859" customWidth="1"/>
    <col min="10252" max="10252" width="2.07421875" style="2859" customWidth="1"/>
    <col min="10253" max="10253" width="23.765625" style="2859" customWidth="1"/>
    <col min="10254" max="10254" width="2.07421875" style="2859" customWidth="1"/>
    <col min="10255" max="10255" width="23.765625" style="2859" customWidth="1"/>
    <col min="10256" max="10256" width="2.765625" style="2859" bestFit="1" customWidth="1"/>
    <col min="10257" max="10495" width="8.765625" style="2859"/>
    <col min="10496" max="10497" width="8.765625" style="2859" customWidth="1"/>
    <col min="10498" max="10498" width="10.07421875" style="2859" customWidth="1"/>
    <col min="10499" max="10499" width="2.07421875" style="2859" customWidth="1"/>
    <col min="10500" max="10500" width="50.4609375" style="2859" customWidth="1"/>
    <col min="10501" max="10501" width="8.765625" style="2859"/>
    <col min="10502" max="10502" width="2.07421875" style="2859" customWidth="1"/>
    <col min="10503" max="10503" width="23.765625" style="2859" customWidth="1"/>
    <col min="10504" max="10504" width="2.07421875" style="2859" customWidth="1"/>
    <col min="10505" max="10505" width="23.765625" style="2859" customWidth="1"/>
    <col min="10506" max="10506" width="2.07421875" style="2859" customWidth="1"/>
    <col min="10507" max="10507" width="23.765625" style="2859" customWidth="1"/>
    <col min="10508" max="10508" width="2.07421875" style="2859" customWidth="1"/>
    <col min="10509" max="10509" width="23.765625" style="2859" customWidth="1"/>
    <col min="10510" max="10510" width="2.07421875" style="2859" customWidth="1"/>
    <col min="10511" max="10511" width="23.765625" style="2859" customWidth="1"/>
    <col min="10512" max="10512" width="2.765625" style="2859" bestFit="1" customWidth="1"/>
    <col min="10513" max="10751" width="8.765625" style="2859"/>
    <col min="10752" max="10753" width="8.765625" style="2859" customWidth="1"/>
    <col min="10754" max="10754" width="10.07421875" style="2859" customWidth="1"/>
    <col min="10755" max="10755" width="2.07421875" style="2859" customWidth="1"/>
    <col min="10756" max="10756" width="50.4609375" style="2859" customWidth="1"/>
    <col min="10757" max="10757" width="8.765625" style="2859"/>
    <col min="10758" max="10758" width="2.07421875" style="2859" customWidth="1"/>
    <col min="10759" max="10759" width="23.765625" style="2859" customWidth="1"/>
    <col min="10760" max="10760" width="2.07421875" style="2859" customWidth="1"/>
    <col min="10761" max="10761" width="23.765625" style="2859" customWidth="1"/>
    <col min="10762" max="10762" width="2.07421875" style="2859" customWidth="1"/>
    <col min="10763" max="10763" width="23.765625" style="2859" customWidth="1"/>
    <col min="10764" max="10764" width="2.07421875" style="2859" customWidth="1"/>
    <col min="10765" max="10765" width="23.765625" style="2859" customWidth="1"/>
    <col min="10766" max="10766" width="2.07421875" style="2859" customWidth="1"/>
    <col min="10767" max="10767" width="23.765625" style="2859" customWidth="1"/>
    <col min="10768" max="10768" width="2.765625" style="2859" bestFit="1" customWidth="1"/>
    <col min="10769" max="11007" width="8.765625" style="2859"/>
    <col min="11008" max="11009" width="8.765625" style="2859" customWidth="1"/>
    <col min="11010" max="11010" width="10.07421875" style="2859" customWidth="1"/>
    <col min="11011" max="11011" width="2.07421875" style="2859" customWidth="1"/>
    <col min="11012" max="11012" width="50.4609375" style="2859" customWidth="1"/>
    <col min="11013" max="11013" width="8.765625" style="2859"/>
    <col min="11014" max="11014" width="2.07421875" style="2859" customWidth="1"/>
    <col min="11015" max="11015" width="23.765625" style="2859" customWidth="1"/>
    <col min="11016" max="11016" width="2.07421875" style="2859" customWidth="1"/>
    <col min="11017" max="11017" width="23.765625" style="2859" customWidth="1"/>
    <col min="11018" max="11018" width="2.07421875" style="2859" customWidth="1"/>
    <col min="11019" max="11019" width="23.765625" style="2859" customWidth="1"/>
    <col min="11020" max="11020" width="2.07421875" style="2859" customWidth="1"/>
    <col min="11021" max="11021" width="23.765625" style="2859" customWidth="1"/>
    <col min="11022" max="11022" width="2.07421875" style="2859" customWidth="1"/>
    <col min="11023" max="11023" width="23.765625" style="2859" customWidth="1"/>
    <col min="11024" max="11024" width="2.765625" style="2859" bestFit="1" customWidth="1"/>
    <col min="11025" max="11263" width="8.765625" style="2859"/>
    <col min="11264" max="11265" width="8.765625" style="2859" customWidth="1"/>
    <col min="11266" max="11266" width="10.07421875" style="2859" customWidth="1"/>
    <col min="11267" max="11267" width="2.07421875" style="2859" customWidth="1"/>
    <col min="11268" max="11268" width="50.4609375" style="2859" customWidth="1"/>
    <col min="11269" max="11269" width="8.765625" style="2859"/>
    <col min="11270" max="11270" width="2.07421875" style="2859" customWidth="1"/>
    <col min="11271" max="11271" width="23.765625" style="2859" customWidth="1"/>
    <col min="11272" max="11272" width="2.07421875" style="2859" customWidth="1"/>
    <col min="11273" max="11273" width="23.765625" style="2859" customWidth="1"/>
    <col min="11274" max="11274" width="2.07421875" style="2859" customWidth="1"/>
    <col min="11275" max="11275" width="23.765625" style="2859" customWidth="1"/>
    <col min="11276" max="11276" width="2.07421875" style="2859" customWidth="1"/>
    <col min="11277" max="11277" width="23.765625" style="2859" customWidth="1"/>
    <col min="11278" max="11278" width="2.07421875" style="2859" customWidth="1"/>
    <col min="11279" max="11279" width="23.765625" style="2859" customWidth="1"/>
    <col min="11280" max="11280" width="2.765625" style="2859" bestFit="1" customWidth="1"/>
    <col min="11281" max="11519" width="8.765625" style="2859"/>
    <col min="11520" max="11521" width="8.765625" style="2859" customWidth="1"/>
    <col min="11522" max="11522" width="10.07421875" style="2859" customWidth="1"/>
    <col min="11523" max="11523" width="2.07421875" style="2859" customWidth="1"/>
    <col min="11524" max="11524" width="50.4609375" style="2859" customWidth="1"/>
    <col min="11525" max="11525" width="8.765625" style="2859"/>
    <col min="11526" max="11526" width="2.07421875" style="2859" customWidth="1"/>
    <col min="11527" max="11527" width="23.765625" style="2859" customWidth="1"/>
    <col min="11528" max="11528" width="2.07421875" style="2859" customWidth="1"/>
    <col min="11529" max="11529" width="23.765625" style="2859" customWidth="1"/>
    <col min="11530" max="11530" width="2.07421875" style="2859" customWidth="1"/>
    <col min="11531" max="11531" width="23.765625" style="2859" customWidth="1"/>
    <col min="11532" max="11532" width="2.07421875" style="2859" customWidth="1"/>
    <col min="11533" max="11533" width="23.765625" style="2859" customWidth="1"/>
    <col min="11534" max="11534" width="2.07421875" style="2859" customWidth="1"/>
    <col min="11535" max="11535" width="23.765625" style="2859" customWidth="1"/>
    <col min="11536" max="11536" width="2.765625" style="2859" bestFit="1" customWidth="1"/>
    <col min="11537" max="11775" width="8.765625" style="2859"/>
    <col min="11776" max="11777" width="8.765625" style="2859" customWidth="1"/>
    <col min="11778" max="11778" width="10.07421875" style="2859" customWidth="1"/>
    <col min="11779" max="11779" width="2.07421875" style="2859" customWidth="1"/>
    <col min="11780" max="11780" width="50.4609375" style="2859" customWidth="1"/>
    <col min="11781" max="11781" width="8.765625" style="2859"/>
    <col min="11782" max="11782" width="2.07421875" style="2859" customWidth="1"/>
    <col min="11783" max="11783" width="23.765625" style="2859" customWidth="1"/>
    <col min="11784" max="11784" width="2.07421875" style="2859" customWidth="1"/>
    <col min="11785" max="11785" width="23.765625" style="2859" customWidth="1"/>
    <col min="11786" max="11786" width="2.07421875" style="2859" customWidth="1"/>
    <col min="11787" max="11787" width="23.765625" style="2859" customWidth="1"/>
    <col min="11788" max="11788" width="2.07421875" style="2859" customWidth="1"/>
    <col min="11789" max="11789" width="23.765625" style="2859" customWidth="1"/>
    <col min="11790" max="11790" width="2.07421875" style="2859" customWidth="1"/>
    <col min="11791" max="11791" width="23.765625" style="2859" customWidth="1"/>
    <col min="11792" max="11792" width="2.765625" style="2859" bestFit="1" customWidth="1"/>
    <col min="11793" max="12031" width="8.765625" style="2859"/>
    <col min="12032" max="12033" width="8.765625" style="2859" customWidth="1"/>
    <col min="12034" max="12034" width="10.07421875" style="2859" customWidth="1"/>
    <col min="12035" max="12035" width="2.07421875" style="2859" customWidth="1"/>
    <col min="12036" max="12036" width="50.4609375" style="2859" customWidth="1"/>
    <col min="12037" max="12037" width="8.765625" style="2859"/>
    <col min="12038" max="12038" width="2.07421875" style="2859" customWidth="1"/>
    <col min="12039" max="12039" width="23.765625" style="2859" customWidth="1"/>
    <col min="12040" max="12040" width="2.07421875" style="2859" customWidth="1"/>
    <col min="12041" max="12041" width="23.765625" style="2859" customWidth="1"/>
    <col min="12042" max="12042" width="2.07421875" style="2859" customWidth="1"/>
    <col min="12043" max="12043" width="23.765625" style="2859" customWidth="1"/>
    <col min="12044" max="12044" width="2.07421875" style="2859" customWidth="1"/>
    <col min="12045" max="12045" width="23.765625" style="2859" customWidth="1"/>
    <col min="12046" max="12046" width="2.07421875" style="2859" customWidth="1"/>
    <col min="12047" max="12047" width="23.765625" style="2859" customWidth="1"/>
    <col min="12048" max="12048" width="2.765625" style="2859" bestFit="1" customWidth="1"/>
    <col min="12049" max="12287" width="8.765625" style="2859"/>
    <col min="12288" max="12289" width="8.765625" style="2859" customWidth="1"/>
    <col min="12290" max="12290" width="10.07421875" style="2859" customWidth="1"/>
    <col min="12291" max="12291" width="2.07421875" style="2859" customWidth="1"/>
    <col min="12292" max="12292" width="50.4609375" style="2859" customWidth="1"/>
    <col min="12293" max="12293" width="8.765625" style="2859"/>
    <col min="12294" max="12294" width="2.07421875" style="2859" customWidth="1"/>
    <col min="12295" max="12295" width="23.765625" style="2859" customWidth="1"/>
    <col min="12296" max="12296" width="2.07421875" style="2859" customWidth="1"/>
    <col min="12297" max="12297" width="23.765625" style="2859" customWidth="1"/>
    <col min="12298" max="12298" width="2.07421875" style="2859" customWidth="1"/>
    <col min="12299" max="12299" width="23.765625" style="2859" customWidth="1"/>
    <col min="12300" max="12300" width="2.07421875" style="2859" customWidth="1"/>
    <col min="12301" max="12301" width="23.765625" style="2859" customWidth="1"/>
    <col min="12302" max="12302" width="2.07421875" style="2859" customWidth="1"/>
    <col min="12303" max="12303" width="23.765625" style="2859" customWidth="1"/>
    <col min="12304" max="12304" width="2.765625" style="2859" bestFit="1" customWidth="1"/>
    <col min="12305" max="12543" width="8.765625" style="2859"/>
    <col min="12544" max="12545" width="8.765625" style="2859" customWidth="1"/>
    <col min="12546" max="12546" width="10.07421875" style="2859" customWidth="1"/>
    <col min="12547" max="12547" width="2.07421875" style="2859" customWidth="1"/>
    <col min="12548" max="12548" width="50.4609375" style="2859" customWidth="1"/>
    <col min="12549" max="12549" width="8.765625" style="2859"/>
    <col min="12550" max="12550" width="2.07421875" style="2859" customWidth="1"/>
    <col min="12551" max="12551" width="23.765625" style="2859" customWidth="1"/>
    <col min="12552" max="12552" width="2.07421875" style="2859" customWidth="1"/>
    <col min="12553" max="12553" width="23.765625" style="2859" customWidth="1"/>
    <col min="12554" max="12554" width="2.07421875" style="2859" customWidth="1"/>
    <col min="12555" max="12555" width="23.765625" style="2859" customWidth="1"/>
    <col min="12556" max="12556" width="2.07421875" style="2859" customWidth="1"/>
    <col min="12557" max="12557" width="23.765625" style="2859" customWidth="1"/>
    <col min="12558" max="12558" width="2.07421875" style="2859" customWidth="1"/>
    <col min="12559" max="12559" width="23.765625" style="2859" customWidth="1"/>
    <col min="12560" max="12560" width="2.765625" style="2859" bestFit="1" customWidth="1"/>
    <col min="12561" max="12799" width="8.765625" style="2859"/>
    <col min="12800" max="12801" width="8.765625" style="2859" customWidth="1"/>
    <col min="12802" max="12802" width="10.07421875" style="2859" customWidth="1"/>
    <col min="12803" max="12803" width="2.07421875" style="2859" customWidth="1"/>
    <col min="12804" max="12804" width="50.4609375" style="2859" customWidth="1"/>
    <col min="12805" max="12805" width="8.765625" style="2859"/>
    <col min="12806" max="12806" width="2.07421875" style="2859" customWidth="1"/>
    <col min="12807" max="12807" width="23.765625" style="2859" customWidth="1"/>
    <col min="12808" max="12808" width="2.07421875" style="2859" customWidth="1"/>
    <col min="12809" max="12809" width="23.765625" style="2859" customWidth="1"/>
    <col min="12810" max="12810" width="2.07421875" style="2859" customWidth="1"/>
    <col min="12811" max="12811" width="23.765625" style="2859" customWidth="1"/>
    <col min="12812" max="12812" width="2.07421875" style="2859" customWidth="1"/>
    <col min="12813" max="12813" width="23.765625" style="2859" customWidth="1"/>
    <col min="12814" max="12814" width="2.07421875" style="2859" customWidth="1"/>
    <col min="12815" max="12815" width="23.765625" style="2859" customWidth="1"/>
    <col min="12816" max="12816" width="2.765625" style="2859" bestFit="1" customWidth="1"/>
    <col min="12817" max="13055" width="8.765625" style="2859"/>
    <col min="13056" max="13057" width="8.765625" style="2859" customWidth="1"/>
    <col min="13058" max="13058" width="10.07421875" style="2859" customWidth="1"/>
    <col min="13059" max="13059" width="2.07421875" style="2859" customWidth="1"/>
    <col min="13060" max="13060" width="50.4609375" style="2859" customWidth="1"/>
    <col min="13061" max="13061" width="8.765625" style="2859"/>
    <col min="13062" max="13062" width="2.07421875" style="2859" customWidth="1"/>
    <col min="13063" max="13063" width="23.765625" style="2859" customWidth="1"/>
    <col min="13064" max="13064" width="2.07421875" style="2859" customWidth="1"/>
    <col min="13065" max="13065" width="23.765625" style="2859" customWidth="1"/>
    <col min="13066" max="13066" width="2.07421875" style="2859" customWidth="1"/>
    <col min="13067" max="13067" width="23.765625" style="2859" customWidth="1"/>
    <col min="13068" max="13068" width="2.07421875" style="2859" customWidth="1"/>
    <col min="13069" max="13069" width="23.765625" style="2859" customWidth="1"/>
    <col min="13070" max="13070" width="2.07421875" style="2859" customWidth="1"/>
    <col min="13071" max="13071" width="23.765625" style="2859" customWidth="1"/>
    <col min="13072" max="13072" width="2.765625" style="2859" bestFit="1" customWidth="1"/>
    <col min="13073" max="13311" width="8.765625" style="2859"/>
    <col min="13312" max="13313" width="8.765625" style="2859" customWidth="1"/>
    <col min="13314" max="13314" width="10.07421875" style="2859" customWidth="1"/>
    <col min="13315" max="13315" width="2.07421875" style="2859" customWidth="1"/>
    <col min="13316" max="13316" width="50.4609375" style="2859" customWidth="1"/>
    <col min="13317" max="13317" width="8.765625" style="2859"/>
    <col min="13318" max="13318" width="2.07421875" style="2859" customWidth="1"/>
    <col min="13319" max="13319" width="23.765625" style="2859" customWidth="1"/>
    <col min="13320" max="13320" width="2.07421875" style="2859" customWidth="1"/>
    <col min="13321" max="13321" width="23.765625" style="2859" customWidth="1"/>
    <col min="13322" max="13322" width="2.07421875" style="2859" customWidth="1"/>
    <col min="13323" max="13323" width="23.765625" style="2859" customWidth="1"/>
    <col min="13324" max="13324" width="2.07421875" style="2859" customWidth="1"/>
    <col min="13325" max="13325" width="23.765625" style="2859" customWidth="1"/>
    <col min="13326" max="13326" width="2.07421875" style="2859" customWidth="1"/>
    <col min="13327" max="13327" width="23.765625" style="2859" customWidth="1"/>
    <col min="13328" max="13328" width="2.765625" style="2859" bestFit="1" customWidth="1"/>
    <col min="13329" max="13567" width="8.765625" style="2859"/>
    <col min="13568" max="13569" width="8.765625" style="2859" customWidth="1"/>
    <col min="13570" max="13570" width="10.07421875" style="2859" customWidth="1"/>
    <col min="13571" max="13571" width="2.07421875" style="2859" customWidth="1"/>
    <col min="13572" max="13572" width="50.4609375" style="2859" customWidth="1"/>
    <col min="13573" max="13573" width="8.765625" style="2859"/>
    <col min="13574" max="13574" width="2.07421875" style="2859" customWidth="1"/>
    <col min="13575" max="13575" width="23.765625" style="2859" customWidth="1"/>
    <col min="13576" max="13576" width="2.07421875" style="2859" customWidth="1"/>
    <col min="13577" max="13577" width="23.765625" style="2859" customWidth="1"/>
    <col min="13578" max="13578" width="2.07421875" style="2859" customWidth="1"/>
    <col min="13579" max="13579" width="23.765625" style="2859" customWidth="1"/>
    <col min="13580" max="13580" width="2.07421875" style="2859" customWidth="1"/>
    <col min="13581" max="13581" width="23.765625" style="2859" customWidth="1"/>
    <col min="13582" max="13582" width="2.07421875" style="2859" customWidth="1"/>
    <col min="13583" max="13583" width="23.765625" style="2859" customWidth="1"/>
    <col min="13584" max="13584" width="2.765625" style="2859" bestFit="1" customWidth="1"/>
    <col min="13585" max="13823" width="8.765625" style="2859"/>
    <col min="13824" max="13825" width="8.765625" style="2859" customWidth="1"/>
    <col min="13826" max="13826" width="10.07421875" style="2859" customWidth="1"/>
    <col min="13827" max="13827" width="2.07421875" style="2859" customWidth="1"/>
    <col min="13828" max="13828" width="50.4609375" style="2859" customWidth="1"/>
    <col min="13829" max="13829" width="8.765625" style="2859"/>
    <col min="13830" max="13830" width="2.07421875" style="2859" customWidth="1"/>
    <col min="13831" max="13831" width="23.765625" style="2859" customWidth="1"/>
    <col min="13832" max="13832" width="2.07421875" style="2859" customWidth="1"/>
    <col min="13833" max="13833" width="23.765625" style="2859" customWidth="1"/>
    <col min="13834" max="13834" width="2.07421875" style="2859" customWidth="1"/>
    <col min="13835" max="13835" width="23.765625" style="2859" customWidth="1"/>
    <col min="13836" max="13836" width="2.07421875" style="2859" customWidth="1"/>
    <col min="13837" max="13837" width="23.765625" style="2859" customWidth="1"/>
    <col min="13838" max="13838" width="2.07421875" style="2859" customWidth="1"/>
    <col min="13839" max="13839" width="23.765625" style="2859" customWidth="1"/>
    <col min="13840" max="13840" width="2.765625" style="2859" bestFit="1" customWidth="1"/>
    <col min="13841" max="14079" width="8.765625" style="2859"/>
    <col min="14080" max="14081" width="8.765625" style="2859" customWidth="1"/>
    <col min="14082" max="14082" width="10.07421875" style="2859" customWidth="1"/>
    <col min="14083" max="14083" width="2.07421875" style="2859" customWidth="1"/>
    <col min="14084" max="14084" width="50.4609375" style="2859" customWidth="1"/>
    <col min="14085" max="14085" width="8.765625" style="2859"/>
    <col min="14086" max="14086" width="2.07421875" style="2859" customWidth="1"/>
    <col min="14087" max="14087" width="23.765625" style="2859" customWidth="1"/>
    <col min="14088" max="14088" width="2.07421875" style="2859" customWidth="1"/>
    <col min="14089" max="14089" width="23.765625" style="2859" customWidth="1"/>
    <col min="14090" max="14090" width="2.07421875" style="2859" customWidth="1"/>
    <col min="14091" max="14091" width="23.765625" style="2859" customWidth="1"/>
    <col min="14092" max="14092" width="2.07421875" style="2859" customWidth="1"/>
    <col min="14093" max="14093" width="23.765625" style="2859" customWidth="1"/>
    <col min="14094" max="14094" width="2.07421875" style="2859" customWidth="1"/>
    <col min="14095" max="14095" width="23.765625" style="2859" customWidth="1"/>
    <col min="14096" max="14096" width="2.765625" style="2859" bestFit="1" customWidth="1"/>
    <col min="14097" max="14335" width="8.765625" style="2859"/>
    <col min="14336" max="14337" width="8.765625" style="2859" customWidth="1"/>
    <col min="14338" max="14338" width="10.07421875" style="2859" customWidth="1"/>
    <col min="14339" max="14339" width="2.07421875" style="2859" customWidth="1"/>
    <col min="14340" max="14340" width="50.4609375" style="2859" customWidth="1"/>
    <col min="14341" max="14341" width="8.765625" style="2859"/>
    <col min="14342" max="14342" width="2.07421875" style="2859" customWidth="1"/>
    <col min="14343" max="14343" width="23.765625" style="2859" customWidth="1"/>
    <col min="14344" max="14344" width="2.07421875" style="2859" customWidth="1"/>
    <col min="14345" max="14345" width="23.765625" style="2859" customWidth="1"/>
    <col min="14346" max="14346" width="2.07421875" style="2859" customWidth="1"/>
    <col min="14347" max="14347" width="23.765625" style="2859" customWidth="1"/>
    <col min="14348" max="14348" width="2.07421875" style="2859" customWidth="1"/>
    <col min="14349" max="14349" width="23.765625" style="2859" customWidth="1"/>
    <col min="14350" max="14350" width="2.07421875" style="2859" customWidth="1"/>
    <col min="14351" max="14351" width="23.765625" style="2859" customWidth="1"/>
    <col min="14352" max="14352" width="2.765625" style="2859" bestFit="1" customWidth="1"/>
    <col min="14353" max="14591" width="8.765625" style="2859"/>
    <col min="14592" max="14593" width="8.765625" style="2859" customWidth="1"/>
    <col min="14594" max="14594" width="10.07421875" style="2859" customWidth="1"/>
    <col min="14595" max="14595" width="2.07421875" style="2859" customWidth="1"/>
    <col min="14596" max="14596" width="50.4609375" style="2859" customWidth="1"/>
    <col min="14597" max="14597" width="8.765625" style="2859"/>
    <col min="14598" max="14598" width="2.07421875" style="2859" customWidth="1"/>
    <col min="14599" max="14599" width="23.765625" style="2859" customWidth="1"/>
    <col min="14600" max="14600" width="2.07421875" style="2859" customWidth="1"/>
    <col min="14601" max="14601" width="23.765625" style="2859" customWidth="1"/>
    <col min="14602" max="14602" width="2.07421875" style="2859" customWidth="1"/>
    <col min="14603" max="14603" width="23.765625" style="2859" customWidth="1"/>
    <col min="14604" max="14604" width="2.07421875" style="2859" customWidth="1"/>
    <col min="14605" max="14605" width="23.765625" style="2859" customWidth="1"/>
    <col min="14606" max="14606" width="2.07421875" style="2859" customWidth="1"/>
    <col min="14607" max="14607" width="23.765625" style="2859" customWidth="1"/>
    <col min="14608" max="14608" width="2.765625" style="2859" bestFit="1" customWidth="1"/>
    <col min="14609" max="14847" width="8.765625" style="2859"/>
    <col min="14848" max="14849" width="8.765625" style="2859" customWidth="1"/>
    <col min="14850" max="14850" width="10.07421875" style="2859" customWidth="1"/>
    <col min="14851" max="14851" width="2.07421875" style="2859" customWidth="1"/>
    <col min="14852" max="14852" width="50.4609375" style="2859" customWidth="1"/>
    <col min="14853" max="14853" width="8.765625" style="2859"/>
    <col min="14854" max="14854" width="2.07421875" style="2859" customWidth="1"/>
    <col min="14855" max="14855" width="23.765625" style="2859" customWidth="1"/>
    <col min="14856" max="14856" width="2.07421875" style="2859" customWidth="1"/>
    <col min="14857" max="14857" width="23.765625" style="2859" customWidth="1"/>
    <col min="14858" max="14858" width="2.07421875" style="2859" customWidth="1"/>
    <col min="14859" max="14859" width="23.765625" style="2859" customWidth="1"/>
    <col min="14860" max="14860" width="2.07421875" style="2859" customWidth="1"/>
    <col min="14861" max="14861" width="23.765625" style="2859" customWidth="1"/>
    <col min="14862" max="14862" width="2.07421875" style="2859" customWidth="1"/>
    <col min="14863" max="14863" width="23.765625" style="2859" customWidth="1"/>
    <col min="14864" max="14864" width="2.765625" style="2859" bestFit="1" customWidth="1"/>
    <col min="14865" max="15103" width="8.765625" style="2859"/>
    <col min="15104" max="15105" width="8.765625" style="2859" customWidth="1"/>
    <col min="15106" max="15106" width="10.07421875" style="2859" customWidth="1"/>
    <col min="15107" max="15107" width="2.07421875" style="2859" customWidth="1"/>
    <col min="15108" max="15108" width="50.4609375" style="2859" customWidth="1"/>
    <col min="15109" max="15109" width="8.765625" style="2859"/>
    <col min="15110" max="15110" width="2.07421875" style="2859" customWidth="1"/>
    <col min="15111" max="15111" width="23.765625" style="2859" customWidth="1"/>
    <col min="15112" max="15112" width="2.07421875" style="2859" customWidth="1"/>
    <col min="15113" max="15113" width="23.765625" style="2859" customWidth="1"/>
    <col min="15114" max="15114" width="2.07421875" style="2859" customWidth="1"/>
    <col min="15115" max="15115" width="23.765625" style="2859" customWidth="1"/>
    <col min="15116" max="15116" width="2.07421875" style="2859" customWidth="1"/>
    <col min="15117" max="15117" width="23.765625" style="2859" customWidth="1"/>
    <col min="15118" max="15118" width="2.07421875" style="2859" customWidth="1"/>
    <col min="15119" max="15119" width="23.765625" style="2859" customWidth="1"/>
    <col min="15120" max="15120" width="2.765625" style="2859" bestFit="1" customWidth="1"/>
    <col min="15121" max="15359" width="8.765625" style="2859"/>
    <col min="15360" max="15361" width="8.765625" style="2859" customWidth="1"/>
    <col min="15362" max="15362" width="10.07421875" style="2859" customWidth="1"/>
    <col min="15363" max="15363" width="2.07421875" style="2859" customWidth="1"/>
    <col min="15364" max="15364" width="50.4609375" style="2859" customWidth="1"/>
    <col min="15365" max="15365" width="8.765625" style="2859"/>
    <col min="15366" max="15366" width="2.07421875" style="2859" customWidth="1"/>
    <col min="15367" max="15367" width="23.765625" style="2859" customWidth="1"/>
    <col min="15368" max="15368" width="2.07421875" style="2859" customWidth="1"/>
    <col min="15369" max="15369" width="23.765625" style="2859" customWidth="1"/>
    <col min="15370" max="15370" width="2.07421875" style="2859" customWidth="1"/>
    <col min="15371" max="15371" width="23.765625" style="2859" customWidth="1"/>
    <col min="15372" max="15372" width="2.07421875" style="2859" customWidth="1"/>
    <col min="15373" max="15373" width="23.765625" style="2859" customWidth="1"/>
    <col min="15374" max="15374" width="2.07421875" style="2859" customWidth="1"/>
    <col min="15375" max="15375" width="23.765625" style="2859" customWidth="1"/>
    <col min="15376" max="15376" width="2.765625" style="2859" bestFit="1" customWidth="1"/>
    <col min="15377" max="15615" width="8.765625" style="2859"/>
    <col min="15616" max="15617" width="8.765625" style="2859" customWidth="1"/>
    <col min="15618" max="15618" width="10.07421875" style="2859" customWidth="1"/>
    <col min="15619" max="15619" width="2.07421875" style="2859" customWidth="1"/>
    <col min="15620" max="15620" width="50.4609375" style="2859" customWidth="1"/>
    <col min="15621" max="15621" width="8.765625" style="2859"/>
    <col min="15622" max="15622" width="2.07421875" style="2859" customWidth="1"/>
    <col min="15623" max="15623" width="23.765625" style="2859" customWidth="1"/>
    <col min="15624" max="15624" width="2.07421875" style="2859" customWidth="1"/>
    <col min="15625" max="15625" width="23.765625" style="2859" customWidth="1"/>
    <col min="15626" max="15626" width="2.07421875" style="2859" customWidth="1"/>
    <col min="15627" max="15627" width="23.765625" style="2859" customWidth="1"/>
    <col min="15628" max="15628" width="2.07421875" style="2859" customWidth="1"/>
    <col min="15629" max="15629" width="23.765625" style="2859" customWidth="1"/>
    <col min="15630" max="15630" width="2.07421875" style="2859" customWidth="1"/>
    <col min="15631" max="15631" width="23.765625" style="2859" customWidth="1"/>
    <col min="15632" max="15632" width="2.765625" style="2859" bestFit="1" customWidth="1"/>
    <col min="15633" max="15871" width="8.765625" style="2859"/>
    <col min="15872" max="15873" width="8.765625" style="2859" customWidth="1"/>
    <col min="15874" max="15874" width="10.07421875" style="2859" customWidth="1"/>
    <col min="15875" max="15875" width="2.07421875" style="2859" customWidth="1"/>
    <col min="15876" max="15876" width="50.4609375" style="2859" customWidth="1"/>
    <col min="15877" max="15877" width="8.765625" style="2859"/>
    <col min="15878" max="15878" width="2.07421875" style="2859" customWidth="1"/>
    <col min="15879" max="15879" width="23.765625" style="2859" customWidth="1"/>
    <col min="15880" max="15880" width="2.07421875" style="2859" customWidth="1"/>
    <col min="15881" max="15881" width="23.765625" style="2859" customWidth="1"/>
    <col min="15882" max="15882" width="2.07421875" style="2859" customWidth="1"/>
    <col min="15883" max="15883" width="23.765625" style="2859" customWidth="1"/>
    <col min="15884" max="15884" width="2.07421875" style="2859" customWidth="1"/>
    <col min="15885" max="15885" width="23.765625" style="2859" customWidth="1"/>
    <col min="15886" max="15886" width="2.07421875" style="2859" customWidth="1"/>
    <col min="15887" max="15887" width="23.765625" style="2859" customWidth="1"/>
    <col min="15888" max="15888" width="2.765625" style="2859" bestFit="1" customWidth="1"/>
    <col min="15889" max="16127" width="8.765625" style="2859"/>
    <col min="16128" max="16129" width="8.765625" style="2859" customWidth="1"/>
    <col min="16130" max="16130" width="10.07421875" style="2859" customWidth="1"/>
    <col min="16131" max="16131" width="2.07421875" style="2859" customWidth="1"/>
    <col min="16132" max="16132" width="50.4609375" style="2859" customWidth="1"/>
    <col min="16133" max="16133" width="8.765625" style="2859"/>
    <col min="16134" max="16134" width="2.07421875" style="2859" customWidth="1"/>
    <col min="16135" max="16135" width="23.765625" style="2859" customWidth="1"/>
    <col min="16136" max="16136" width="2.07421875" style="2859" customWidth="1"/>
    <col min="16137" max="16137" width="23.765625" style="2859" customWidth="1"/>
    <col min="16138" max="16138" width="2.07421875" style="2859" customWidth="1"/>
    <col min="16139" max="16139" width="23.765625" style="2859" customWidth="1"/>
    <col min="16140" max="16140" width="2.07421875" style="2859" customWidth="1"/>
    <col min="16141" max="16141" width="23.765625" style="2859" customWidth="1"/>
    <col min="16142" max="16142" width="2.07421875" style="2859" customWidth="1"/>
    <col min="16143" max="16143" width="23.765625" style="2859" customWidth="1"/>
    <col min="16144" max="16144" width="2.765625" style="2859" bestFit="1" customWidth="1"/>
    <col min="16145" max="16384" width="8.765625" style="2859"/>
  </cols>
  <sheetData>
    <row r="1" spans="2:17" ht="15.5">
      <c r="B1" s="2856"/>
      <c r="C1" s="2857"/>
      <c r="D1" s="2225" t="s">
        <v>885</v>
      </c>
      <c r="E1" s="2857"/>
      <c r="F1" s="2858"/>
      <c r="G1" s="2856"/>
      <c r="H1" s="2857"/>
      <c r="I1" s="2856"/>
      <c r="J1" s="2857"/>
      <c r="K1" s="2856"/>
      <c r="L1" s="2857"/>
      <c r="M1" s="2856"/>
      <c r="N1" s="2857"/>
      <c r="P1" s="2860"/>
    </row>
    <row r="2" spans="2:17" ht="15.5">
      <c r="B2" s="2856"/>
      <c r="C2" s="2857"/>
      <c r="D2" s="2856"/>
      <c r="E2" s="2857"/>
      <c r="F2" s="2858"/>
      <c r="G2" s="2856"/>
      <c r="H2" s="2857"/>
      <c r="I2" s="2856"/>
      <c r="J2" s="2857"/>
      <c r="K2" s="2856"/>
      <c r="L2" s="2857"/>
      <c r="M2" s="2856"/>
      <c r="N2" s="2857"/>
      <c r="O2" s="3601" t="s">
        <v>542</v>
      </c>
      <c r="P2" s="2860"/>
    </row>
    <row r="3" spans="2:17" ht="15.5">
      <c r="B3" s="2856"/>
      <c r="C3" s="2857"/>
      <c r="D3" s="2856"/>
      <c r="E3" s="2857"/>
      <c r="F3" s="2858"/>
      <c r="G3" s="2856"/>
      <c r="H3" s="2857"/>
      <c r="I3" s="2856"/>
      <c r="J3" s="2857"/>
      <c r="K3" s="2856"/>
      <c r="L3" s="2857"/>
      <c r="M3" s="2856"/>
      <c r="N3" s="2857"/>
      <c r="O3" s="3602"/>
      <c r="P3" s="2861"/>
    </row>
    <row r="4" spans="2:17" ht="18">
      <c r="B4" s="2862"/>
      <c r="C4" s="2863"/>
      <c r="D4" s="2864" t="s">
        <v>0</v>
      </c>
      <c r="E4" s="2863"/>
      <c r="F4" s="2863"/>
      <c r="G4" s="2520"/>
      <c r="H4" s="2865"/>
      <c r="I4" s="2520"/>
      <c r="J4" s="2865"/>
      <c r="K4" s="2520"/>
      <c r="L4" s="2865"/>
      <c r="M4" s="2866"/>
      <c r="N4" s="2866"/>
      <c r="O4" s="3603"/>
      <c r="P4" s="2867"/>
    </row>
    <row r="5" spans="2:17" ht="18">
      <c r="B5" s="2862"/>
      <c r="C5" s="2863"/>
      <c r="D5" s="2864" t="s">
        <v>780</v>
      </c>
      <c r="E5" s="2863"/>
      <c r="F5" s="2863"/>
      <c r="G5" s="2520"/>
      <c r="H5" s="2865"/>
      <c r="I5" s="2520"/>
      <c r="J5" s="2865"/>
      <c r="K5" s="2520"/>
      <c r="L5" s="2865"/>
      <c r="M5" s="2868"/>
      <c r="N5" s="2868"/>
      <c r="O5" s="2868"/>
      <c r="P5" s="2869"/>
    </row>
    <row r="6" spans="2:17" ht="15.5">
      <c r="B6" s="2862"/>
      <c r="C6" s="2863"/>
      <c r="D6" s="2870"/>
      <c r="E6" s="2863"/>
      <c r="F6" s="2863"/>
      <c r="G6" s="2520"/>
      <c r="H6" s="2865"/>
      <c r="I6" s="2520"/>
      <c r="J6" s="2865"/>
      <c r="K6" s="2520"/>
      <c r="L6" s="2865"/>
      <c r="M6" s="2871"/>
      <c r="N6" s="2871"/>
      <c r="O6" s="2871"/>
      <c r="P6" s="2872"/>
    </row>
    <row r="7" spans="2:17" ht="15.5">
      <c r="B7" s="2862"/>
      <c r="C7" s="2873"/>
      <c r="D7" s="2874"/>
      <c r="E7" s="2875"/>
      <c r="F7" s="2875"/>
      <c r="G7" s="2520"/>
      <c r="H7" s="2865"/>
      <c r="I7" s="2520"/>
      <c r="J7" s="2865"/>
      <c r="K7" s="2520"/>
      <c r="L7" s="2865"/>
      <c r="M7" s="2876"/>
      <c r="N7" s="2876"/>
      <c r="O7" s="2876"/>
      <c r="P7" s="2877"/>
    </row>
    <row r="8" spans="2:17" s="2885" customFormat="1" ht="16" thickBot="1">
      <c r="B8" s="2878" t="s">
        <v>561</v>
      </c>
      <c r="C8" s="2879"/>
      <c r="D8" s="2880" t="s">
        <v>562</v>
      </c>
      <c r="E8" s="2880"/>
      <c r="F8" s="2880"/>
      <c r="G8" s="2881" t="s">
        <v>1409</v>
      </c>
      <c r="H8" s="2882"/>
      <c r="I8" s="2881" t="s">
        <v>1407</v>
      </c>
      <c r="J8" s="2882"/>
      <c r="K8" s="3604" t="s">
        <v>1408</v>
      </c>
      <c r="L8" s="2882"/>
      <c r="M8" s="2882" t="s">
        <v>563</v>
      </c>
      <c r="N8" s="2883"/>
      <c r="O8" s="3604" t="s">
        <v>1410</v>
      </c>
      <c r="P8" s="2884"/>
    </row>
    <row r="9" spans="2:17" s="2885" customFormat="1" ht="15.5">
      <c r="B9" s="2886"/>
      <c r="C9" s="2887"/>
      <c r="D9" s="2888" t="s">
        <v>145</v>
      </c>
      <c r="E9" s="2889"/>
      <c r="F9" s="2889"/>
      <c r="G9" s="2890"/>
      <c r="H9" s="2891"/>
      <c r="I9" s="2890"/>
      <c r="J9" s="2891"/>
      <c r="K9" s="2890"/>
      <c r="L9" s="2891"/>
      <c r="M9" s="2890"/>
      <c r="N9" s="2890"/>
      <c r="O9" s="3605"/>
      <c r="P9" s="2892"/>
    </row>
    <row r="10" spans="2:17" s="2885" customFormat="1" ht="15.5">
      <c r="B10" s="2893">
        <v>10050</v>
      </c>
      <c r="C10" s="2886"/>
      <c r="D10" s="2894" t="s">
        <v>886</v>
      </c>
      <c r="E10" s="2520"/>
      <c r="F10" s="2895"/>
      <c r="G10" s="2896">
        <v>0</v>
      </c>
      <c r="H10" s="2896"/>
      <c r="I10" s="2896">
        <v>0</v>
      </c>
      <c r="J10" s="2896"/>
      <c r="K10" s="2896">
        <v>0</v>
      </c>
      <c r="L10" s="2896"/>
      <c r="M10" s="2896">
        <f>ROUND(SUM(O10)-SUM(K10),2)</f>
        <v>0</v>
      </c>
      <c r="N10" s="2896"/>
      <c r="O10" s="2896">
        <v>0</v>
      </c>
      <c r="P10" s="2897" t="s">
        <v>777</v>
      </c>
      <c r="Q10" s="2898"/>
    </row>
    <row r="11" spans="2:17" s="2885" customFormat="1" ht="16" thickBot="1">
      <c r="B11" s="2899"/>
      <c r="C11" s="2887"/>
      <c r="D11" s="2900" t="s">
        <v>564</v>
      </c>
      <c r="E11" s="2889"/>
      <c r="F11" s="2889"/>
      <c r="G11" s="1461">
        <f>ROUND(SUM(G10),2)</f>
        <v>0</v>
      </c>
      <c r="H11" s="1462"/>
      <c r="I11" s="1461">
        <f>ROUND(SUM(I10),2)</f>
        <v>0</v>
      </c>
      <c r="J11" s="1462"/>
      <c r="K11" s="1461">
        <f>ROUND(SUM(K10),2)</f>
        <v>0</v>
      </c>
      <c r="L11" s="1462"/>
      <c r="M11" s="1461">
        <f>ROUND(SUM(M10),2)</f>
        <v>0</v>
      </c>
      <c r="N11" s="1462"/>
      <c r="O11" s="3606">
        <f>ROUND(SUM(O10),2)</f>
        <v>0</v>
      </c>
      <c r="P11" s="2897"/>
      <c r="Q11" s="2898"/>
    </row>
    <row r="12" spans="2:17" s="2885" customFormat="1" ht="16" thickTop="1">
      <c r="B12" s="2899"/>
      <c r="C12" s="2901"/>
      <c r="D12" s="2902"/>
      <c r="E12" s="2903"/>
      <c r="F12" s="2903"/>
      <c r="G12" s="1462"/>
      <c r="H12" s="2904"/>
      <c r="I12" s="1462"/>
      <c r="J12" s="2904"/>
      <c r="K12" s="1462"/>
      <c r="L12" s="2904"/>
      <c r="M12" s="1462"/>
      <c r="N12" s="1462"/>
      <c r="O12" s="3607"/>
      <c r="P12" s="2905"/>
      <c r="Q12" s="2898"/>
    </row>
    <row r="13" spans="2:17" s="2885" customFormat="1" ht="15.5">
      <c r="B13" s="2899"/>
      <c r="C13" s="2887"/>
      <c r="D13" s="2888" t="s">
        <v>565</v>
      </c>
      <c r="E13" s="2889"/>
      <c r="F13" s="2889"/>
      <c r="G13" s="2904"/>
      <c r="H13" s="2520"/>
      <c r="I13" s="2904"/>
      <c r="J13" s="2520"/>
      <c r="K13" s="2904"/>
      <c r="L13" s="2520"/>
      <c r="M13" s="2904"/>
      <c r="N13" s="2904"/>
      <c r="O13" s="3608"/>
      <c r="P13" s="2905"/>
      <c r="Q13" s="2898"/>
    </row>
    <row r="14" spans="2:17" s="2885" customFormat="1" ht="15.5">
      <c r="B14" s="2893">
        <v>30051</v>
      </c>
      <c r="C14" s="2856"/>
      <c r="D14" s="2894" t="s">
        <v>566</v>
      </c>
      <c r="E14" s="2856"/>
      <c r="F14" s="1207">
        <v>227042324.13</v>
      </c>
      <c r="G14" s="1207">
        <v>328865597.18000001</v>
      </c>
      <c r="H14" s="1207"/>
      <c r="I14" s="1207">
        <v>0</v>
      </c>
      <c r="J14" s="1207"/>
      <c r="K14" s="1207">
        <v>44223561.210000001</v>
      </c>
      <c r="L14" s="1207"/>
      <c r="M14" s="1207">
        <f>ROUND(SUM(O14)-SUM(K14),2)</f>
        <v>-44223561.210000001</v>
      </c>
      <c r="N14" s="1207"/>
      <c r="O14" s="1207">
        <v>0</v>
      </c>
      <c r="P14" s="2897"/>
      <c r="Q14" s="2898"/>
    </row>
    <row r="15" spans="2:17" s="2885" customFormat="1" ht="15.5">
      <c r="B15" s="2893">
        <v>30053</v>
      </c>
      <c r="C15" s="2856"/>
      <c r="D15" s="2894" t="s">
        <v>1184</v>
      </c>
      <c r="E15" s="2856"/>
      <c r="F15" s="1207"/>
      <c r="G15" s="1207">
        <v>0</v>
      </c>
      <c r="H15" s="1207"/>
      <c r="I15" s="1207">
        <v>0</v>
      </c>
      <c r="J15" s="1207"/>
      <c r="K15" s="1207">
        <v>0</v>
      </c>
      <c r="L15" s="1207"/>
      <c r="M15" s="1207">
        <f>ROUND(SUM(O15)-SUM(K15),2)</f>
        <v>0</v>
      </c>
      <c r="N15" s="1207"/>
      <c r="O15" s="1207">
        <v>0</v>
      </c>
      <c r="P15" s="2897"/>
      <c r="Q15" s="2898"/>
    </row>
    <row r="16" spans="2:17" s="2885" customFormat="1" ht="15.5">
      <c r="B16" s="2893">
        <v>30101</v>
      </c>
      <c r="C16" s="3884"/>
      <c r="D16" s="2894" t="s">
        <v>1489</v>
      </c>
      <c r="E16" s="2856"/>
      <c r="F16" s="1207"/>
      <c r="G16" s="1207">
        <v>0</v>
      </c>
      <c r="H16" s="1207"/>
      <c r="I16" s="1207">
        <v>0</v>
      </c>
      <c r="J16" s="1207"/>
      <c r="K16" s="1207">
        <v>0</v>
      </c>
      <c r="L16" s="1207"/>
      <c r="M16" s="1207">
        <f t="shared" ref="M16:M61" si="0">ROUND(SUM(O16)-SUM(K16),2)</f>
        <v>0</v>
      </c>
      <c r="N16" s="1207"/>
      <c r="O16" s="1207">
        <v>0</v>
      </c>
      <c r="P16" s="2897"/>
      <c r="Q16" s="2898"/>
    </row>
    <row r="17" spans="2:17" s="2885" customFormat="1" ht="15.5">
      <c r="B17" s="2893">
        <v>30102</v>
      </c>
      <c r="C17" s="2856"/>
      <c r="D17" s="2894" t="s">
        <v>1444</v>
      </c>
      <c r="E17" s="2856"/>
      <c r="F17" s="1207"/>
      <c r="G17" s="1207">
        <v>0</v>
      </c>
      <c r="H17" s="1207"/>
      <c r="I17" s="1207">
        <v>0</v>
      </c>
      <c r="J17" s="1207"/>
      <c r="K17" s="1207">
        <v>0</v>
      </c>
      <c r="L17" s="1207"/>
      <c r="M17" s="1207">
        <f t="shared" si="0"/>
        <v>0</v>
      </c>
      <c r="N17" s="1207"/>
      <c r="O17" s="1207">
        <v>0</v>
      </c>
      <c r="P17" s="2897"/>
      <c r="Q17" s="2898"/>
    </row>
    <row r="18" spans="2:17" s="2885" customFormat="1" ht="15.5">
      <c r="B18" s="2893">
        <v>30103</v>
      </c>
      <c r="C18" s="2856"/>
      <c r="D18" s="2894" t="s">
        <v>1445</v>
      </c>
      <c r="E18" s="2856"/>
      <c r="F18" s="1207"/>
      <c r="G18" s="1207">
        <v>0</v>
      </c>
      <c r="H18" s="1207"/>
      <c r="I18" s="1207">
        <v>0</v>
      </c>
      <c r="J18" s="1207"/>
      <c r="K18" s="1207">
        <v>0</v>
      </c>
      <c r="L18" s="1207"/>
      <c r="M18" s="1207">
        <f t="shared" si="0"/>
        <v>0</v>
      </c>
      <c r="N18" s="1207"/>
      <c r="O18" s="1207">
        <v>0</v>
      </c>
      <c r="P18" s="2897"/>
      <c r="Q18" s="2898"/>
    </row>
    <row r="19" spans="2:17" s="2885" customFormat="1" ht="15.5">
      <c r="B19" s="2893">
        <v>30104</v>
      </c>
      <c r="C19" s="2856"/>
      <c r="D19" s="2894" t="s">
        <v>1446</v>
      </c>
      <c r="E19" s="2856"/>
      <c r="F19" s="1207"/>
      <c r="G19" s="1207">
        <v>0</v>
      </c>
      <c r="H19" s="1207"/>
      <c r="I19" s="1207">
        <v>0</v>
      </c>
      <c r="J19" s="1207"/>
      <c r="K19" s="1207">
        <v>0</v>
      </c>
      <c r="L19" s="1207"/>
      <c r="M19" s="1207">
        <f t="shared" si="0"/>
        <v>0</v>
      </c>
      <c r="N19" s="1207"/>
      <c r="O19" s="1207">
        <v>0</v>
      </c>
      <c r="P19" s="2897"/>
      <c r="Q19" s="2898"/>
    </row>
    <row r="20" spans="2:17" s="2885" customFormat="1" ht="15.5">
      <c r="B20" s="2893">
        <v>30105</v>
      </c>
      <c r="C20" s="2856"/>
      <c r="D20" s="2894" t="s">
        <v>1447</v>
      </c>
      <c r="E20" s="2856"/>
      <c r="F20" s="1207"/>
      <c r="G20" s="1207">
        <v>0</v>
      </c>
      <c r="H20" s="1207"/>
      <c r="I20" s="1207">
        <v>0</v>
      </c>
      <c r="J20" s="1207"/>
      <c r="K20" s="1207">
        <v>0</v>
      </c>
      <c r="L20" s="1207"/>
      <c r="M20" s="1207">
        <f t="shared" si="0"/>
        <v>0</v>
      </c>
      <c r="N20" s="1207"/>
      <c r="O20" s="1207">
        <v>0</v>
      </c>
      <c r="P20" s="2897"/>
      <c r="Q20" s="2898"/>
    </row>
    <row r="21" spans="2:17" s="2885" customFormat="1" ht="15.5">
      <c r="B21" s="2893">
        <v>30106</v>
      </c>
      <c r="C21" s="2856"/>
      <c r="D21" s="2894" t="s">
        <v>1448</v>
      </c>
      <c r="E21" s="2856"/>
      <c r="F21" s="1207"/>
      <c r="G21" s="1207">
        <v>0</v>
      </c>
      <c r="H21" s="1207"/>
      <c r="I21" s="1207">
        <v>0</v>
      </c>
      <c r="J21" s="1207"/>
      <c r="K21" s="1207">
        <v>0</v>
      </c>
      <c r="L21" s="1207"/>
      <c r="M21" s="1207">
        <f t="shared" si="0"/>
        <v>0</v>
      </c>
      <c r="N21" s="1207"/>
      <c r="O21" s="1207">
        <v>0</v>
      </c>
      <c r="P21" s="2897"/>
      <c r="Q21" s="2898"/>
    </row>
    <row r="22" spans="2:17" s="2885" customFormat="1" ht="15.5">
      <c r="B22" s="2893">
        <v>30107</v>
      </c>
      <c r="C22" s="2856"/>
      <c r="D22" s="2894" t="s">
        <v>1449</v>
      </c>
      <c r="E22" s="2856"/>
      <c r="F22" s="1207"/>
      <c r="G22" s="1207">
        <v>0</v>
      </c>
      <c r="H22" s="1207"/>
      <c r="I22" s="1207">
        <v>0</v>
      </c>
      <c r="J22" s="1207"/>
      <c r="K22" s="1207">
        <v>0</v>
      </c>
      <c r="L22" s="1207"/>
      <c r="M22" s="1207">
        <f t="shared" si="0"/>
        <v>0</v>
      </c>
      <c r="N22" s="1207"/>
      <c r="O22" s="1207">
        <v>0</v>
      </c>
      <c r="P22" s="2897"/>
      <c r="Q22" s="2898"/>
    </row>
    <row r="23" spans="2:17" s="2885" customFormat="1" ht="15.5">
      <c r="B23" s="2893">
        <v>30108</v>
      </c>
      <c r="C23" s="2856"/>
      <c r="D23" s="2894" t="s">
        <v>1450</v>
      </c>
      <c r="E23" s="2856"/>
      <c r="F23" s="1207"/>
      <c r="G23" s="1207">
        <v>0</v>
      </c>
      <c r="H23" s="1207"/>
      <c r="I23" s="1207">
        <v>0</v>
      </c>
      <c r="J23" s="1207"/>
      <c r="K23" s="1207">
        <v>0</v>
      </c>
      <c r="L23" s="1207"/>
      <c r="M23" s="1207">
        <f t="shared" si="0"/>
        <v>0</v>
      </c>
      <c r="N23" s="1207"/>
      <c r="O23" s="1207">
        <v>0</v>
      </c>
      <c r="P23" s="2897"/>
      <c r="Q23" s="2898"/>
    </row>
    <row r="24" spans="2:17" s="2885" customFormat="1" ht="15.5">
      <c r="B24" s="2893">
        <v>30109</v>
      </c>
      <c r="C24" s="2856"/>
      <c r="D24" s="2894" t="s">
        <v>1451</v>
      </c>
      <c r="E24" s="2856"/>
      <c r="F24" s="1207"/>
      <c r="G24" s="1207">
        <v>0</v>
      </c>
      <c r="H24" s="1207"/>
      <c r="I24" s="1207">
        <v>0</v>
      </c>
      <c r="J24" s="1207"/>
      <c r="K24" s="1207">
        <v>0</v>
      </c>
      <c r="L24" s="1207"/>
      <c r="M24" s="1207">
        <f t="shared" si="0"/>
        <v>0</v>
      </c>
      <c r="N24" s="1207"/>
      <c r="O24" s="1207">
        <v>0</v>
      </c>
      <c r="P24" s="2897"/>
      <c r="Q24" s="2898"/>
    </row>
    <row r="25" spans="2:17" s="2885" customFormat="1" ht="15.5">
      <c r="B25" s="2893">
        <v>30110</v>
      </c>
      <c r="C25" s="2856"/>
      <c r="D25" s="2894" t="s">
        <v>1452</v>
      </c>
      <c r="E25" s="2856"/>
      <c r="F25" s="1207"/>
      <c r="G25" s="1207">
        <v>0</v>
      </c>
      <c r="H25" s="1207"/>
      <c r="I25" s="1207">
        <v>0</v>
      </c>
      <c r="J25" s="1207"/>
      <c r="K25" s="1207">
        <v>0</v>
      </c>
      <c r="L25" s="1207"/>
      <c r="M25" s="1207">
        <f t="shared" si="0"/>
        <v>0</v>
      </c>
      <c r="N25" s="1207"/>
      <c r="O25" s="1207">
        <v>0</v>
      </c>
      <c r="P25" s="2897"/>
      <c r="Q25" s="2898"/>
    </row>
    <row r="26" spans="2:17" s="2885" customFormat="1" ht="15.5">
      <c r="B26" s="2893">
        <v>30111</v>
      </c>
      <c r="C26" s="2856"/>
      <c r="D26" s="2894" t="s">
        <v>1453</v>
      </c>
      <c r="E26" s="2856"/>
      <c r="F26" s="1207"/>
      <c r="G26" s="1207">
        <v>0</v>
      </c>
      <c r="H26" s="1207"/>
      <c r="I26" s="1207">
        <v>0</v>
      </c>
      <c r="J26" s="1207"/>
      <c r="K26" s="1207">
        <v>0</v>
      </c>
      <c r="L26" s="1207"/>
      <c r="M26" s="1207">
        <f t="shared" si="0"/>
        <v>0</v>
      </c>
      <c r="N26" s="1207"/>
      <c r="O26" s="1207">
        <v>0</v>
      </c>
      <c r="P26" s="2897"/>
      <c r="Q26" s="2898"/>
    </row>
    <row r="27" spans="2:17" s="2885" customFormat="1" ht="15.5">
      <c r="B27" s="2893">
        <v>30112</v>
      </c>
      <c r="C27" s="2856"/>
      <c r="D27" s="2894" t="s">
        <v>1454</v>
      </c>
      <c r="E27" s="2856"/>
      <c r="F27" s="1207"/>
      <c r="G27" s="1207">
        <v>0</v>
      </c>
      <c r="H27" s="1207"/>
      <c r="I27" s="1207">
        <v>0</v>
      </c>
      <c r="J27" s="1207"/>
      <c r="K27" s="1207">
        <v>0</v>
      </c>
      <c r="L27" s="1207"/>
      <c r="M27" s="1207">
        <f t="shared" si="0"/>
        <v>0</v>
      </c>
      <c r="N27" s="1207"/>
      <c r="O27" s="1207">
        <v>0</v>
      </c>
      <c r="P27" s="2897"/>
      <c r="Q27" s="2898"/>
    </row>
    <row r="28" spans="2:17" s="2885" customFormat="1" ht="15.5">
      <c r="B28" s="2893">
        <v>30113</v>
      </c>
      <c r="C28" s="2856"/>
      <c r="D28" s="2894" t="s">
        <v>1455</v>
      </c>
      <c r="E28" s="2856"/>
      <c r="F28" s="1207"/>
      <c r="G28" s="1207">
        <v>0</v>
      </c>
      <c r="H28" s="1207"/>
      <c r="I28" s="1207">
        <v>0</v>
      </c>
      <c r="J28" s="1207"/>
      <c r="K28" s="1207">
        <v>0</v>
      </c>
      <c r="L28" s="1207"/>
      <c r="M28" s="1207">
        <f t="shared" si="0"/>
        <v>0</v>
      </c>
      <c r="N28" s="1207"/>
      <c r="O28" s="1207">
        <v>0</v>
      </c>
      <c r="P28" s="2897"/>
      <c r="Q28" s="2898"/>
    </row>
    <row r="29" spans="2:17" s="2885" customFormat="1" ht="15.5">
      <c r="B29" s="2893">
        <v>30114</v>
      </c>
      <c r="C29" s="2856"/>
      <c r="D29" s="2894" t="s">
        <v>1456</v>
      </c>
      <c r="E29" s="2856"/>
      <c r="F29" s="1207"/>
      <c r="G29" s="1207">
        <v>0</v>
      </c>
      <c r="H29" s="1207"/>
      <c r="I29" s="1207">
        <v>0</v>
      </c>
      <c r="J29" s="1207"/>
      <c r="K29" s="1207">
        <v>0</v>
      </c>
      <c r="L29" s="1207"/>
      <c r="M29" s="1207">
        <f t="shared" si="0"/>
        <v>0</v>
      </c>
      <c r="N29" s="1207"/>
      <c r="O29" s="1207">
        <v>0</v>
      </c>
      <c r="P29" s="2897"/>
      <c r="Q29" s="2898"/>
    </row>
    <row r="30" spans="2:17" s="2885" customFormat="1" ht="15.5">
      <c r="B30" s="2893">
        <v>30115</v>
      </c>
      <c r="C30" s="2856"/>
      <c r="D30" s="2894" t="s">
        <v>1457</v>
      </c>
      <c r="E30" s="2856"/>
      <c r="F30" s="1207"/>
      <c r="G30" s="1207">
        <v>0</v>
      </c>
      <c r="H30" s="1207"/>
      <c r="I30" s="1207">
        <v>0</v>
      </c>
      <c r="J30" s="1207"/>
      <c r="K30" s="1207">
        <v>0</v>
      </c>
      <c r="L30" s="1207"/>
      <c r="M30" s="1207">
        <f t="shared" si="0"/>
        <v>0</v>
      </c>
      <c r="N30" s="1207"/>
      <c r="O30" s="1207">
        <v>0</v>
      </c>
      <c r="P30" s="2897"/>
      <c r="Q30" s="2898"/>
    </row>
    <row r="31" spans="2:17" s="2885" customFormat="1" ht="15.5">
      <c r="B31" s="2893">
        <v>30116</v>
      </c>
      <c r="C31" s="2856"/>
      <c r="D31" s="2894" t="s">
        <v>1458</v>
      </c>
      <c r="E31" s="2856"/>
      <c r="F31" s="1207"/>
      <c r="G31" s="1207">
        <v>0</v>
      </c>
      <c r="H31" s="1207"/>
      <c r="I31" s="1207">
        <v>0</v>
      </c>
      <c r="J31" s="1207"/>
      <c r="K31" s="1207">
        <v>0</v>
      </c>
      <c r="L31" s="1207"/>
      <c r="M31" s="1207">
        <f t="shared" si="0"/>
        <v>0</v>
      </c>
      <c r="N31" s="1207"/>
      <c r="O31" s="1207">
        <v>0</v>
      </c>
      <c r="P31" s="2897"/>
      <c r="Q31" s="2898"/>
    </row>
    <row r="32" spans="2:17" s="2885" customFormat="1" ht="15.5">
      <c r="B32" s="2893">
        <v>30117</v>
      </c>
      <c r="C32" s="2856"/>
      <c r="D32" s="2894" t="s">
        <v>1459</v>
      </c>
      <c r="E32" s="2856"/>
      <c r="F32" s="1207"/>
      <c r="G32" s="1207">
        <v>0</v>
      </c>
      <c r="H32" s="1207"/>
      <c r="I32" s="1207">
        <v>0</v>
      </c>
      <c r="J32" s="1207"/>
      <c r="K32" s="1207">
        <v>0</v>
      </c>
      <c r="L32" s="1207"/>
      <c r="M32" s="1207">
        <f t="shared" si="0"/>
        <v>0</v>
      </c>
      <c r="N32" s="1207"/>
      <c r="O32" s="1207">
        <v>0</v>
      </c>
      <c r="P32" s="2897"/>
      <c r="Q32" s="2898"/>
    </row>
    <row r="33" spans="2:17" s="2885" customFormat="1" ht="15.5">
      <c r="B33" s="2893">
        <v>30118</v>
      </c>
      <c r="C33" s="2856"/>
      <c r="D33" s="2894" t="s">
        <v>1460</v>
      </c>
      <c r="E33" s="2856"/>
      <c r="F33" s="1207"/>
      <c r="G33" s="1207">
        <v>0</v>
      </c>
      <c r="H33" s="1207"/>
      <c r="I33" s="1207">
        <v>0</v>
      </c>
      <c r="J33" s="1207"/>
      <c r="K33" s="1207">
        <v>0</v>
      </c>
      <c r="L33" s="1207"/>
      <c r="M33" s="1207">
        <f t="shared" si="0"/>
        <v>0</v>
      </c>
      <c r="N33" s="1207"/>
      <c r="O33" s="1207">
        <v>0</v>
      </c>
      <c r="P33" s="2897"/>
      <c r="Q33" s="2898"/>
    </row>
    <row r="34" spans="2:17" s="2885" customFormat="1" ht="15.5">
      <c r="B34" s="2893">
        <v>30119</v>
      </c>
      <c r="C34" s="2856"/>
      <c r="D34" s="2894" t="s">
        <v>1461</v>
      </c>
      <c r="E34" s="2856"/>
      <c r="F34" s="1207"/>
      <c r="G34" s="1207">
        <v>0</v>
      </c>
      <c r="H34" s="1207"/>
      <c r="I34" s="1207">
        <v>0</v>
      </c>
      <c r="J34" s="1207"/>
      <c r="K34" s="1207">
        <v>0</v>
      </c>
      <c r="L34" s="1207"/>
      <c r="M34" s="1207">
        <f t="shared" si="0"/>
        <v>0</v>
      </c>
      <c r="N34" s="1207"/>
      <c r="O34" s="1207">
        <v>0</v>
      </c>
      <c r="P34" s="2897"/>
      <c r="Q34" s="2898"/>
    </row>
    <row r="35" spans="2:17" s="2885" customFormat="1" ht="15.5">
      <c r="B35" s="2893">
        <v>30120</v>
      </c>
      <c r="C35" s="2856"/>
      <c r="D35" s="2894" t="s">
        <v>1462</v>
      </c>
      <c r="E35" s="2856"/>
      <c r="F35" s="1207"/>
      <c r="G35" s="1207">
        <v>0</v>
      </c>
      <c r="H35" s="1207"/>
      <c r="I35" s="1207">
        <v>0</v>
      </c>
      <c r="J35" s="1207"/>
      <c r="K35" s="1207">
        <v>0</v>
      </c>
      <c r="L35" s="1207"/>
      <c r="M35" s="1207">
        <f t="shared" si="0"/>
        <v>0</v>
      </c>
      <c r="N35" s="1207"/>
      <c r="O35" s="1207">
        <v>0</v>
      </c>
      <c r="P35" s="2897"/>
      <c r="Q35" s="2898"/>
    </row>
    <row r="36" spans="2:17" s="2885" customFormat="1" ht="15.5">
      <c r="B36" s="2893">
        <v>30121</v>
      </c>
      <c r="C36" s="2856"/>
      <c r="D36" s="2894" t="s">
        <v>1463</v>
      </c>
      <c r="E36" s="2856"/>
      <c r="F36" s="1207"/>
      <c r="G36" s="1207">
        <v>0</v>
      </c>
      <c r="H36" s="1207"/>
      <c r="I36" s="1207">
        <v>0</v>
      </c>
      <c r="J36" s="1207"/>
      <c r="K36" s="1207">
        <v>0</v>
      </c>
      <c r="L36" s="1207"/>
      <c r="M36" s="1207">
        <f t="shared" si="0"/>
        <v>0</v>
      </c>
      <c r="N36" s="1207"/>
      <c r="O36" s="1207">
        <v>0</v>
      </c>
      <c r="P36" s="2897"/>
      <c r="Q36" s="2898"/>
    </row>
    <row r="37" spans="2:17" s="2885" customFormat="1" ht="15.5">
      <c r="B37" s="2893">
        <v>30122</v>
      </c>
      <c r="C37" s="2856"/>
      <c r="D37" s="2894" t="s">
        <v>1464</v>
      </c>
      <c r="E37" s="2856"/>
      <c r="F37" s="1207"/>
      <c r="G37" s="1207">
        <v>0</v>
      </c>
      <c r="H37" s="1207"/>
      <c r="I37" s="1207">
        <v>0</v>
      </c>
      <c r="J37" s="1207"/>
      <c r="K37" s="1207">
        <v>0</v>
      </c>
      <c r="L37" s="1207"/>
      <c r="M37" s="1207">
        <f t="shared" si="0"/>
        <v>0</v>
      </c>
      <c r="N37" s="1207"/>
      <c r="O37" s="1207">
        <v>0</v>
      </c>
      <c r="P37" s="2897"/>
      <c r="Q37" s="2898"/>
    </row>
    <row r="38" spans="2:17" s="2885" customFormat="1" ht="15.5">
      <c r="B38" s="2893">
        <v>30123</v>
      </c>
      <c r="C38" s="2856"/>
      <c r="D38" s="2894" t="s">
        <v>1465</v>
      </c>
      <c r="E38" s="2856"/>
      <c r="F38" s="1207"/>
      <c r="G38" s="1207">
        <v>0</v>
      </c>
      <c r="H38" s="1207"/>
      <c r="I38" s="1207">
        <v>0</v>
      </c>
      <c r="J38" s="1207"/>
      <c r="K38" s="1207">
        <v>0</v>
      </c>
      <c r="L38" s="1207"/>
      <c r="M38" s="1207">
        <f t="shared" si="0"/>
        <v>0</v>
      </c>
      <c r="N38" s="1207"/>
      <c r="O38" s="1207">
        <v>0</v>
      </c>
      <c r="P38" s="2897"/>
      <c r="Q38" s="2898"/>
    </row>
    <row r="39" spans="2:17" s="2885" customFormat="1" ht="15.5">
      <c r="B39" s="2893">
        <v>30124</v>
      </c>
      <c r="C39" s="2856"/>
      <c r="D39" s="2894" t="s">
        <v>1466</v>
      </c>
      <c r="E39" s="2856"/>
      <c r="F39" s="1207"/>
      <c r="G39" s="1207">
        <v>0</v>
      </c>
      <c r="H39" s="1207"/>
      <c r="I39" s="1207">
        <v>0</v>
      </c>
      <c r="J39" s="1207"/>
      <c r="K39" s="1207">
        <v>0</v>
      </c>
      <c r="L39" s="1207"/>
      <c r="M39" s="1207">
        <f t="shared" si="0"/>
        <v>0</v>
      </c>
      <c r="N39" s="1207"/>
      <c r="O39" s="1207">
        <v>0</v>
      </c>
      <c r="P39" s="2897"/>
      <c r="Q39" s="2898"/>
    </row>
    <row r="40" spans="2:17" s="2885" customFormat="1" ht="15.5">
      <c r="B40" s="2893">
        <v>30125</v>
      </c>
      <c r="C40" s="2856"/>
      <c r="D40" s="2894" t="s">
        <v>1467</v>
      </c>
      <c r="E40" s="2856"/>
      <c r="F40" s="1207"/>
      <c r="G40" s="1207">
        <v>0</v>
      </c>
      <c r="H40" s="1207"/>
      <c r="I40" s="1207">
        <v>0</v>
      </c>
      <c r="J40" s="1207"/>
      <c r="K40" s="1207">
        <v>0</v>
      </c>
      <c r="L40" s="1207"/>
      <c r="M40" s="1207">
        <f t="shared" si="0"/>
        <v>0</v>
      </c>
      <c r="N40" s="1207"/>
      <c r="O40" s="1207">
        <v>0</v>
      </c>
      <c r="P40" s="2897"/>
      <c r="Q40" s="2898"/>
    </row>
    <row r="41" spans="2:17" s="2885" customFormat="1" ht="15.5">
      <c r="B41" s="2893">
        <v>30126</v>
      </c>
      <c r="C41" s="2856"/>
      <c r="D41" s="2894" t="s">
        <v>1468</v>
      </c>
      <c r="E41" s="2856"/>
      <c r="F41" s="1207"/>
      <c r="G41" s="1207">
        <v>0</v>
      </c>
      <c r="H41" s="1207"/>
      <c r="I41" s="1207">
        <v>0</v>
      </c>
      <c r="J41" s="1207"/>
      <c r="K41" s="1207">
        <v>0</v>
      </c>
      <c r="L41" s="1207"/>
      <c r="M41" s="1207">
        <f t="shared" si="0"/>
        <v>0</v>
      </c>
      <c r="N41" s="1207"/>
      <c r="O41" s="1207">
        <v>0</v>
      </c>
      <c r="P41" s="2897"/>
      <c r="Q41" s="2898"/>
    </row>
    <row r="42" spans="2:17" s="2885" customFormat="1" ht="15.5">
      <c r="B42" s="2893">
        <v>30127</v>
      </c>
      <c r="C42" s="2856"/>
      <c r="D42" s="2894" t="s">
        <v>1469</v>
      </c>
      <c r="E42" s="2856"/>
      <c r="F42" s="1207"/>
      <c r="G42" s="1207">
        <v>0</v>
      </c>
      <c r="H42" s="1207"/>
      <c r="I42" s="1207">
        <v>0</v>
      </c>
      <c r="J42" s="1207"/>
      <c r="K42" s="1207">
        <v>0</v>
      </c>
      <c r="L42" s="1207"/>
      <c r="M42" s="1207">
        <f t="shared" si="0"/>
        <v>0</v>
      </c>
      <c r="N42" s="1207"/>
      <c r="O42" s="1207">
        <v>0</v>
      </c>
      <c r="P42" s="2897"/>
      <c r="Q42" s="2898"/>
    </row>
    <row r="43" spans="2:17" s="2885" customFormat="1" ht="15.5">
      <c r="B43" s="2893">
        <v>30128</v>
      </c>
      <c r="C43" s="2856"/>
      <c r="D43" s="2894" t="s">
        <v>1470</v>
      </c>
      <c r="E43" s="2856"/>
      <c r="F43" s="1207"/>
      <c r="G43" s="1207">
        <v>0</v>
      </c>
      <c r="H43" s="1207"/>
      <c r="I43" s="1207">
        <v>0</v>
      </c>
      <c r="J43" s="1207"/>
      <c r="K43" s="1207">
        <v>0</v>
      </c>
      <c r="L43" s="1207"/>
      <c r="M43" s="1207">
        <f t="shared" si="0"/>
        <v>0</v>
      </c>
      <c r="N43" s="1207"/>
      <c r="O43" s="1207">
        <v>0</v>
      </c>
      <c r="P43" s="2897"/>
      <c r="Q43" s="2898"/>
    </row>
    <row r="44" spans="2:17" s="2885" customFormat="1" ht="15.5">
      <c r="B44" s="2893">
        <v>30129</v>
      </c>
      <c r="C44" s="2856"/>
      <c r="D44" s="2894" t="s">
        <v>1471</v>
      </c>
      <c r="E44" s="2856"/>
      <c r="F44" s="1207"/>
      <c r="G44" s="1207">
        <v>0</v>
      </c>
      <c r="H44" s="1207"/>
      <c r="I44" s="1207">
        <v>0</v>
      </c>
      <c r="J44" s="1207"/>
      <c r="K44" s="1207">
        <v>0</v>
      </c>
      <c r="L44" s="1207"/>
      <c r="M44" s="1207">
        <f t="shared" si="0"/>
        <v>0</v>
      </c>
      <c r="N44" s="1207"/>
      <c r="O44" s="1207">
        <v>0</v>
      </c>
      <c r="P44" s="2897"/>
      <c r="Q44" s="2898"/>
    </row>
    <row r="45" spans="2:17" s="2885" customFormat="1" ht="15.5">
      <c r="B45" s="2893">
        <v>30130</v>
      </c>
      <c r="C45" s="2856"/>
      <c r="D45" s="2894" t="s">
        <v>1472</v>
      </c>
      <c r="E45" s="2856"/>
      <c r="F45" s="1207"/>
      <c r="G45" s="1207">
        <v>0</v>
      </c>
      <c r="H45" s="1207"/>
      <c r="I45" s="1207">
        <v>0</v>
      </c>
      <c r="J45" s="1207"/>
      <c r="K45" s="1207">
        <v>0</v>
      </c>
      <c r="L45" s="1207"/>
      <c r="M45" s="1207">
        <f t="shared" si="0"/>
        <v>0</v>
      </c>
      <c r="N45" s="1207"/>
      <c r="O45" s="1207">
        <v>0</v>
      </c>
      <c r="P45" s="2897"/>
      <c r="Q45" s="2898"/>
    </row>
    <row r="46" spans="2:17" s="2885" customFormat="1" ht="15.5">
      <c r="B46" s="2893">
        <v>30131</v>
      </c>
      <c r="C46" s="2856"/>
      <c r="D46" s="2894" t="s">
        <v>1473</v>
      </c>
      <c r="E46" s="2856"/>
      <c r="F46" s="1207"/>
      <c r="G46" s="1207">
        <v>0</v>
      </c>
      <c r="H46" s="1207"/>
      <c r="I46" s="1207">
        <v>0</v>
      </c>
      <c r="J46" s="1207"/>
      <c r="K46" s="1207">
        <v>0</v>
      </c>
      <c r="L46" s="1207"/>
      <c r="M46" s="1207">
        <f t="shared" si="0"/>
        <v>0</v>
      </c>
      <c r="N46" s="1207"/>
      <c r="O46" s="1207">
        <v>0</v>
      </c>
      <c r="P46" s="2897"/>
      <c r="Q46" s="2898"/>
    </row>
    <row r="47" spans="2:17" s="2885" customFormat="1" ht="15.5">
      <c r="B47" s="2893">
        <v>30132</v>
      </c>
      <c r="C47" s="2856"/>
      <c r="D47" s="2894" t="s">
        <v>1474</v>
      </c>
      <c r="E47" s="2856"/>
      <c r="F47" s="1207"/>
      <c r="G47" s="1207">
        <v>0</v>
      </c>
      <c r="H47" s="1207"/>
      <c r="I47" s="1207">
        <v>0</v>
      </c>
      <c r="J47" s="1207"/>
      <c r="K47" s="1207">
        <v>0</v>
      </c>
      <c r="L47" s="1207"/>
      <c r="M47" s="1207">
        <f t="shared" si="0"/>
        <v>0</v>
      </c>
      <c r="N47" s="1207"/>
      <c r="O47" s="1207">
        <v>0</v>
      </c>
      <c r="P47" s="2897"/>
      <c r="Q47" s="2898"/>
    </row>
    <row r="48" spans="2:17" s="2885" customFormat="1" ht="15.5">
      <c r="B48" s="2893">
        <v>30133</v>
      </c>
      <c r="C48" s="2856"/>
      <c r="D48" s="2894" t="s">
        <v>1475</v>
      </c>
      <c r="E48" s="2856"/>
      <c r="F48" s="1207"/>
      <c r="G48" s="1207">
        <v>0</v>
      </c>
      <c r="H48" s="1207"/>
      <c r="I48" s="1207">
        <v>0</v>
      </c>
      <c r="J48" s="1207"/>
      <c r="K48" s="1207">
        <v>0</v>
      </c>
      <c r="L48" s="1207"/>
      <c r="M48" s="1207">
        <f t="shared" si="0"/>
        <v>0</v>
      </c>
      <c r="N48" s="1207"/>
      <c r="O48" s="1207">
        <v>0</v>
      </c>
      <c r="P48" s="2897"/>
      <c r="Q48" s="2898"/>
    </row>
    <row r="49" spans="2:17" s="2885" customFormat="1" ht="15.5">
      <c r="B49" s="2893">
        <v>30134</v>
      </c>
      <c r="C49" s="2856"/>
      <c r="D49" s="2894" t="s">
        <v>1476</v>
      </c>
      <c r="E49" s="2856"/>
      <c r="F49" s="1207"/>
      <c r="G49" s="1207">
        <v>0</v>
      </c>
      <c r="H49" s="1207"/>
      <c r="I49" s="1207">
        <v>0</v>
      </c>
      <c r="J49" s="1207"/>
      <c r="K49" s="1207">
        <v>0</v>
      </c>
      <c r="L49" s="1207"/>
      <c r="M49" s="1207">
        <f t="shared" si="0"/>
        <v>0</v>
      </c>
      <c r="N49" s="1207"/>
      <c r="O49" s="1207">
        <v>0</v>
      </c>
      <c r="P49" s="2897"/>
      <c r="Q49" s="2898"/>
    </row>
    <row r="50" spans="2:17" s="2885" customFormat="1" ht="15.5">
      <c r="B50" s="2893">
        <v>30135</v>
      </c>
      <c r="C50" s="2856"/>
      <c r="D50" s="2894" t="s">
        <v>1477</v>
      </c>
      <c r="E50" s="2856"/>
      <c r="F50" s="1207"/>
      <c r="G50" s="1207">
        <v>0</v>
      </c>
      <c r="H50" s="1207"/>
      <c r="I50" s="1207">
        <v>0</v>
      </c>
      <c r="J50" s="1207"/>
      <c r="K50" s="1207">
        <v>0</v>
      </c>
      <c r="L50" s="1207"/>
      <c r="M50" s="1207">
        <f t="shared" si="0"/>
        <v>0</v>
      </c>
      <c r="N50" s="1207"/>
      <c r="O50" s="1207">
        <v>0</v>
      </c>
      <c r="P50" s="2897"/>
      <c r="Q50" s="2898"/>
    </row>
    <row r="51" spans="2:17" s="2885" customFormat="1" ht="15.5">
      <c r="B51" s="2893">
        <v>30136</v>
      </c>
      <c r="C51" s="2856"/>
      <c r="D51" s="2894" t="s">
        <v>1478</v>
      </c>
      <c r="E51" s="2856"/>
      <c r="F51" s="1207"/>
      <c r="G51" s="1207">
        <v>0</v>
      </c>
      <c r="H51" s="1207"/>
      <c r="I51" s="1207">
        <v>0</v>
      </c>
      <c r="J51" s="1207"/>
      <c r="K51" s="1207">
        <v>0</v>
      </c>
      <c r="L51" s="1207"/>
      <c r="M51" s="1207">
        <f t="shared" si="0"/>
        <v>0</v>
      </c>
      <c r="N51" s="1207"/>
      <c r="O51" s="1207">
        <v>0</v>
      </c>
      <c r="P51" s="2897"/>
      <c r="Q51" s="2898"/>
    </row>
    <row r="52" spans="2:17" s="2885" customFormat="1" ht="15.5">
      <c r="B52" s="2893">
        <v>30137</v>
      </c>
      <c r="C52" s="2856"/>
      <c r="D52" s="2894" t="s">
        <v>1479</v>
      </c>
      <c r="E52" s="2856"/>
      <c r="F52" s="1207"/>
      <c r="G52" s="1207">
        <v>0</v>
      </c>
      <c r="H52" s="1207"/>
      <c r="I52" s="1207">
        <v>0</v>
      </c>
      <c r="J52" s="1207"/>
      <c r="K52" s="1207">
        <v>0</v>
      </c>
      <c r="L52" s="1207"/>
      <c r="M52" s="1207">
        <f t="shared" si="0"/>
        <v>0</v>
      </c>
      <c r="N52" s="1207"/>
      <c r="O52" s="1207">
        <v>0</v>
      </c>
      <c r="P52" s="2897"/>
      <c r="Q52" s="2898"/>
    </row>
    <row r="53" spans="2:17" s="2885" customFormat="1" ht="15.5">
      <c r="B53" s="2893">
        <v>30138</v>
      </c>
      <c r="C53" s="2856"/>
      <c r="D53" s="2894" t="s">
        <v>1480</v>
      </c>
      <c r="E53" s="2856"/>
      <c r="F53" s="1207"/>
      <c r="G53" s="1207">
        <v>0</v>
      </c>
      <c r="H53" s="1207"/>
      <c r="I53" s="1207">
        <v>0</v>
      </c>
      <c r="J53" s="1207"/>
      <c r="K53" s="1207">
        <v>0</v>
      </c>
      <c r="L53" s="1207"/>
      <c r="M53" s="1207">
        <f t="shared" si="0"/>
        <v>0</v>
      </c>
      <c r="N53" s="1207"/>
      <c r="O53" s="1207">
        <v>0</v>
      </c>
      <c r="P53" s="2897"/>
      <c r="Q53" s="2898"/>
    </row>
    <row r="54" spans="2:17" s="2885" customFormat="1" ht="15.5">
      <c r="B54" s="2893">
        <v>30139</v>
      </c>
      <c r="C54" s="2856"/>
      <c r="D54" s="2894" t="s">
        <v>1481</v>
      </c>
      <c r="E54" s="2856"/>
      <c r="F54" s="1207"/>
      <c r="G54" s="1207">
        <v>0</v>
      </c>
      <c r="H54" s="1207"/>
      <c r="I54" s="1207">
        <v>0</v>
      </c>
      <c r="J54" s="1207"/>
      <c r="K54" s="1207">
        <v>0</v>
      </c>
      <c r="L54" s="1207"/>
      <c r="M54" s="1207">
        <f t="shared" si="0"/>
        <v>0</v>
      </c>
      <c r="N54" s="1207"/>
      <c r="O54" s="1207">
        <v>0</v>
      </c>
      <c r="P54" s="2897"/>
      <c r="Q54" s="2898"/>
    </row>
    <row r="55" spans="2:17" s="2885" customFormat="1" ht="15.5">
      <c r="B55" s="2893">
        <v>30140</v>
      </c>
      <c r="C55" s="2856"/>
      <c r="D55" s="2894" t="s">
        <v>1482</v>
      </c>
      <c r="E55" s="2856"/>
      <c r="F55" s="1207"/>
      <c r="G55" s="1207">
        <v>0</v>
      </c>
      <c r="H55" s="1207"/>
      <c r="I55" s="1207">
        <v>0</v>
      </c>
      <c r="J55" s="1207"/>
      <c r="K55" s="1207">
        <v>0</v>
      </c>
      <c r="L55" s="1207"/>
      <c r="M55" s="1207">
        <f t="shared" si="0"/>
        <v>0</v>
      </c>
      <c r="N55" s="1207"/>
      <c r="O55" s="1207">
        <v>0</v>
      </c>
      <c r="P55" s="2897"/>
      <c r="Q55" s="2898"/>
    </row>
    <row r="56" spans="2:17" s="2885" customFormat="1" ht="15.5">
      <c r="B56" s="2893">
        <v>30141</v>
      </c>
      <c r="C56" s="2856"/>
      <c r="D56" s="2894" t="s">
        <v>1483</v>
      </c>
      <c r="E56" s="2856"/>
      <c r="F56" s="1207"/>
      <c r="G56" s="1207">
        <v>0</v>
      </c>
      <c r="H56" s="1207"/>
      <c r="I56" s="1207">
        <v>0</v>
      </c>
      <c r="J56" s="1207"/>
      <c r="K56" s="1207">
        <v>0</v>
      </c>
      <c r="L56" s="1207"/>
      <c r="M56" s="1207">
        <f t="shared" si="0"/>
        <v>0</v>
      </c>
      <c r="N56" s="1207"/>
      <c r="O56" s="1207">
        <v>0</v>
      </c>
      <c r="P56" s="2897"/>
      <c r="Q56" s="2898"/>
    </row>
    <row r="57" spans="2:17" s="2885" customFormat="1" ht="15.5">
      <c r="B57" s="2893">
        <v>30142</v>
      </c>
      <c r="C57" s="2856"/>
      <c r="D57" s="2894" t="s">
        <v>1484</v>
      </c>
      <c r="E57" s="2856"/>
      <c r="F57" s="1207"/>
      <c r="G57" s="1207">
        <v>0</v>
      </c>
      <c r="H57" s="1207"/>
      <c r="I57" s="1207">
        <v>0</v>
      </c>
      <c r="J57" s="1207"/>
      <c r="K57" s="1207">
        <v>0</v>
      </c>
      <c r="L57" s="1207"/>
      <c r="M57" s="1207">
        <f t="shared" si="0"/>
        <v>0</v>
      </c>
      <c r="N57" s="1207"/>
      <c r="O57" s="1207">
        <v>0</v>
      </c>
      <c r="P57" s="2897"/>
      <c r="Q57" s="2898"/>
    </row>
    <row r="58" spans="2:17" s="2885" customFormat="1" ht="15.5">
      <c r="B58" s="2893">
        <v>30143</v>
      </c>
      <c r="C58" s="2856"/>
      <c r="D58" s="2894" t="s">
        <v>1485</v>
      </c>
      <c r="E58" s="2856"/>
      <c r="F58" s="1207"/>
      <c r="G58" s="1207">
        <v>0</v>
      </c>
      <c r="H58" s="1207"/>
      <c r="I58" s="1207">
        <v>0</v>
      </c>
      <c r="J58" s="1207"/>
      <c r="K58" s="1207">
        <v>0</v>
      </c>
      <c r="L58" s="1207"/>
      <c r="M58" s="1207">
        <f t="shared" si="0"/>
        <v>0</v>
      </c>
      <c r="N58" s="1207"/>
      <c r="O58" s="1207">
        <v>0</v>
      </c>
      <c r="P58" s="2897"/>
      <c r="Q58" s="2898"/>
    </row>
    <row r="59" spans="2:17" s="2885" customFormat="1" ht="15.5">
      <c r="B59" s="2893">
        <v>30144</v>
      </c>
      <c r="C59" s="2856"/>
      <c r="D59" s="2894" t="s">
        <v>1486</v>
      </c>
      <c r="E59" s="2856"/>
      <c r="F59" s="1207"/>
      <c r="G59" s="1207">
        <v>0</v>
      </c>
      <c r="H59" s="1207"/>
      <c r="I59" s="1207">
        <v>0</v>
      </c>
      <c r="J59" s="1207"/>
      <c r="K59" s="1207">
        <v>0</v>
      </c>
      <c r="L59" s="1207"/>
      <c r="M59" s="1207">
        <f t="shared" si="0"/>
        <v>0</v>
      </c>
      <c r="N59" s="1207"/>
      <c r="O59" s="1207">
        <v>0</v>
      </c>
      <c r="P59" s="2897"/>
      <c r="Q59" s="2898"/>
    </row>
    <row r="60" spans="2:17" s="2885" customFormat="1" ht="15.5">
      <c r="B60" s="2893">
        <v>30145</v>
      </c>
      <c r="C60" s="2856"/>
      <c r="D60" s="2894" t="s">
        <v>1487</v>
      </c>
      <c r="E60" s="2856"/>
      <c r="F60" s="1207"/>
      <c r="G60" s="1207">
        <v>0</v>
      </c>
      <c r="H60" s="1207"/>
      <c r="I60" s="1207">
        <v>0</v>
      </c>
      <c r="J60" s="1207"/>
      <c r="K60" s="1207">
        <v>0</v>
      </c>
      <c r="L60" s="1207"/>
      <c r="M60" s="1207">
        <f t="shared" si="0"/>
        <v>0</v>
      </c>
      <c r="N60" s="1207"/>
      <c r="O60" s="1207">
        <v>0</v>
      </c>
      <c r="P60" s="2897"/>
      <c r="Q60" s="2898"/>
    </row>
    <row r="61" spans="2:17" s="2885" customFormat="1" ht="15.5">
      <c r="B61" s="2893">
        <v>30146</v>
      </c>
      <c r="C61" s="2856"/>
      <c r="D61" s="2894" t="s">
        <v>1488</v>
      </c>
      <c r="E61" s="2856"/>
      <c r="F61" s="1207"/>
      <c r="G61" s="1207">
        <v>0</v>
      </c>
      <c r="H61" s="1207"/>
      <c r="I61" s="1207">
        <v>0</v>
      </c>
      <c r="J61" s="1207"/>
      <c r="K61" s="1207">
        <v>0</v>
      </c>
      <c r="L61" s="1207"/>
      <c r="M61" s="1207">
        <f t="shared" si="0"/>
        <v>0</v>
      </c>
      <c r="N61" s="1207"/>
      <c r="O61" s="1207">
        <v>0</v>
      </c>
      <c r="P61" s="2897"/>
      <c r="Q61" s="2898"/>
    </row>
    <row r="62" spans="2:17" s="2885" customFormat="1" ht="15.5">
      <c r="B62" s="2893">
        <v>30147</v>
      </c>
      <c r="C62" s="2856"/>
      <c r="D62" s="2894" t="s">
        <v>567</v>
      </c>
      <c r="E62" s="2856"/>
      <c r="F62" s="1207">
        <v>0</v>
      </c>
      <c r="G62" s="1207">
        <v>1135204.83</v>
      </c>
      <c r="H62" s="1207"/>
      <c r="I62" s="1207">
        <v>1203596.49</v>
      </c>
      <c r="J62" s="1207"/>
      <c r="K62" s="1207">
        <v>0</v>
      </c>
      <c r="L62" s="1207"/>
      <c r="M62" s="1207">
        <f t="shared" ref="M62:M75" si="1">ROUND(SUM(O62)-SUM(K62),2)</f>
        <v>0</v>
      </c>
      <c r="N62" s="1207"/>
      <c r="O62" s="1207">
        <v>0</v>
      </c>
      <c r="P62" s="2905"/>
      <c r="Q62" s="2898"/>
    </row>
    <row r="63" spans="2:17" s="2885" customFormat="1" ht="15.5">
      <c r="B63" s="2893">
        <v>30148</v>
      </c>
      <c r="C63" s="2856"/>
      <c r="D63" s="2894" t="s">
        <v>1490</v>
      </c>
      <c r="E63" s="2856"/>
      <c r="F63" s="1207"/>
      <c r="G63" s="1207">
        <v>0</v>
      </c>
      <c r="H63" s="1207"/>
      <c r="I63" s="1207">
        <v>0</v>
      </c>
      <c r="J63" s="1207"/>
      <c r="K63" s="1207">
        <v>0</v>
      </c>
      <c r="L63" s="1207"/>
      <c r="M63" s="1207">
        <f t="shared" ref="M63:M69" si="2">ROUND(SUM(O63)-SUM(K63),2)</f>
        <v>0</v>
      </c>
      <c r="N63" s="1207"/>
      <c r="O63" s="1207">
        <v>0</v>
      </c>
      <c r="P63" s="2905"/>
      <c r="Q63" s="2898"/>
    </row>
    <row r="64" spans="2:17" s="2885" customFormat="1" ht="15.5">
      <c r="B64" s="2893">
        <v>30149</v>
      </c>
      <c r="C64" s="2856"/>
      <c r="D64" s="2894" t="s">
        <v>1491</v>
      </c>
      <c r="E64" s="2856"/>
      <c r="F64" s="1207"/>
      <c r="G64" s="1207">
        <v>0</v>
      </c>
      <c r="H64" s="1207"/>
      <c r="I64" s="1207">
        <v>0</v>
      </c>
      <c r="J64" s="1207"/>
      <c r="K64" s="1207">
        <v>0</v>
      </c>
      <c r="L64" s="1207"/>
      <c r="M64" s="1207">
        <f t="shared" si="2"/>
        <v>0</v>
      </c>
      <c r="N64" s="1207"/>
      <c r="O64" s="1207">
        <v>0</v>
      </c>
      <c r="P64" s="2905"/>
      <c r="Q64" s="2898"/>
    </row>
    <row r="65" spans="2:17" s="2885" customFormat="1" ht="15.5">
      <c r="B65" s="2893">
        <v>30150</v>
      </c>
      <c r="C65" s="2856"/>
      <c r="D65" s="2894" t="s">
        <v>1492</v>
      </c>
      <c r="E65" s="2856"/>
      <c r="F65" s="1207"/>
      <c r="G65" s="1207">
        <v>0</v>
      </c>
      <c r="H65" s="1207"/>
      <c r="I65" s="1207">
        <v>0</v>
      </c>
      <c r="J65" s="1207"/>
      <c r="K65" s="1207">
        <v>0</v>
      </c>
      <c r="L65" s="1207"/>
      <c r="M65" s="1207">
        <f t="shared" si="2"/>
        <v>0</v>
      </c>
      <c r="N65" s="1207"/>
      <c r="O65" s="1207">
        <v>0</v>
      </c>
      <c r="P65" s="2905"/>
      <c r="Q65" s="2898"/>
    </row>
    <row r="66" spans="2:17" s="2885" customFormat="1" ht="15.5">
      <c r="B66" s="2893">
        <v>30151</v>
      </c>
      <c r="C66" s="2856"/>
      <c r="D66" s="2894" t="s">
        <v>1493</v>
      </c>
      <c r="E66" s="2856"/>
      <c r="F66" s="1207"/>
      <c r="G66" s="1207">
        <v>0</v>
      </c>
      <c r="H66" s="1207"/>
      <c r="I66" s="1207">
        <v>0</v>
      </c>
      <c r="J66" s="1207"/>
      <c r="K66" s="1207">
        <v>0</v>
      </c>
      <c r="L66" s="1207"/>
      <c r="M66" s="1207">
        <f t="shared" si="2"/>
        <v>0</v>
      </c>
      <c r="N66" s="1207"/>
      <c r="O66" s="1207">
        <v>0</v>
      </c>
      <c r="P66" s="2905"/>
      <c r="Q66" s="2898"/>
    </row>
    <row r="67" spans="2:17" s="2885" customFormat="1" ht="15.5">
      <c r="B67" s="2893">
        <v>30152</v>
      </c>
      <c r="C67" s="2856"/>
      <c r="D67" s="2894" t="s">
        <v>1494</v>
      </c>
      <c r="E67" s="2856"/>
      <c r="F67" s="1207"/>
      <c r="G67" s="1207">
        <v>0</v>
      </c>
      <c r="H67" s="1207"/>
      <c r="I67" s="1207">
        <v>0</v>
      </c>
      <c r="J67" s="1207"/>
      <c r="K67" s="1207">
        <v>0</v>
      </c>
      <c r="L67" s="1207"/>
      <c r="M67" s="1207">
        <f t="shared" si="2"/>
        <v>0</v>
      </c>
      <c r="N67" s="1207"/>
      <c r="O67" s="1207">
        <v>0</v>
      </c>
      <c r="P67" s="2905"/>
      <c r="Q67" s="2898"/>
    </row>
    <row r="68" spans="2:17" s="2885" customFormat="1" ht="15.5">
      <c r="B68" s="2893">
        <v>30153</v>
      </c>
      <c r="C68" s="2856"/>
      <c r="D68" s="2894" t="s">
        <v>1495</v>
      </c>
      <c r="E68" s="2856"/>
      <c r="F68" s="1207"/>
      <c r="G68" s="1207">
        <v>0</v>
      </c>
      <c r="H68" s="1207"/>
      <c r="I68" s="1207">
        <v>0</v>
      </c>
      <c r="J68" s="1207"/>
      <c r="K68" s="1207">
        <v>0</v>
      </c>
      <c r="L68" s="1207"/>
      <c r="M68" s="1207">
        <f t="shared" si="2"/>
        <v>0</v>
      </c>
      <c r="N68" s="1207"/>
      <c r="O68" s="1207">
        <v>0</v>
      </c>
      <c r="P68" s="2905"/>
      <c r="Q68" s="2898"/>
    </row>
    <row r="69" spans="2:17" s="2885" customFormat="1" ht="15.5">
      <c r="B69" s="2893">
        <v>30154</v>
      </c>
      <c r="C69" s="2856"/>
      <c r="D69" s="2894" t="s">
        <v>1496</v>
      </c>
      <c r="E69" s="2856"/>
      <c r="F69" s="1207"/>
      <c r="G69" s="1207">
        <v>0</v>
      </c>
      <c r="H69" s="1207"/>
      <c r="I69" s="1207">
        <v>0</v>
      </c>
      <c r="J69" s="1207"/>
      <c r="K69" s="1207">
        <v>0</v>
      </c>
      <c r="L69" s="1207"/>
      <c r="M69" s="1207">
        <f t="shared" si="2"/>
        <v>0</v>
      </c>
      <c r="N69" s="1207"/>
      <c r="O69" s="1207">
        <v>0</v>
      </c>
      <c r="P69" s="2905"/>
      <c r="Q69" s="2898"/>
    </row>
    <row r="70" spans="2:17" s="2885" customFormat="1" ht="15.5">
      <c r="B70" s="2893">
        <v>30351</v>
      </c>
      <c r="C70" s="2856"/>
      <c r="D70" s="2894" t="s">
        <v>568</v>
      </c>
      <c r="E70" s="2856"/>
      <c r="F70" s="1207">
        <v>72792259.140000001</v>
      </c>
      <c r="G70" s="1207">
        <v>53130282.82</v>
      </c>
      <c r="H70" s="1207"/>
      <c r="I70" s="1207">
        <v>71356612.450000003</v>
      </c>
      <c r="J70" s="1207"/>
      <c r="K70" s="1207">
        <v>35978959.859999999</v>
      </c>
      <c r="L70" s="1207"/>
      <c r="M70" s="1207">
        <f t="shared" si="1"/>
        <v>8365162.6900000004</v>
      </c>
      <c r="N70" s="1207"/>
      <c r="O70" s="1207">
        <v>44344122.549999997</v>
      </c>
      <c r="P70" s="2905"/>
      <c r="Q70" s="2898"/>
    </row>
    <row r="71" spans="2:17" s="2885" customFormat="1" ht="15.5">
      <c r="B71" s="2893">
        <v>30501</v>
      </c>
      <c r="C71" s="2856"/>
      <c r="D71" s="2894" t="s">
        <v>1497</v>
      </c>
      <c r="E71" s="2856"/>
      <c r="F71" s="1207"/>
      <c r="G71" s="1207">
        <v>0</v>
      </c>
      <c r="H71" s="1207"/>
      <c r="I71" s="1207">
        <v>0</v>
      </c>
      <c r="J71" s="1207"/>
      <c r="K71" s="1207">
        <v>0</v>
      </c>
      <c r="L71" s="1207"/>
      <c r="M71" s="1207">
        <f>ROUND(SUM(O71)-SUM(K71),2)</f>
        <v>0</v>
      </c>
      <c r="N71" s="1207"/>
      <c r="O71" s="1207">
        <v>0</v>
      </c>
      <c r="P71" s="2905"/>
      <c r="Q71" s="2898"/>
    </row>
    <row r="72" spans="2:17" s="2885" customFormat="1" ht="15.5">
      <c r="B72" s="2893">
        <v>30502</v>
      </c>
      <c r="C72" s="2856"/>
      <c r="D72" s="2894" t="s">
        <v>1498</v>
      </c>
      <c r="E72" s="2856"/>
      <c r="F72" s="1207"/>
      <c r="G72" s="1207">
        <v>0</v>
      </c>
      <c r="H72" s="1207"/>
      <c r="I72" s="1207">
        <v>0</v>
      </c>
      <c r="J72" s="1207"/>
      <c r="K72" s="1207">
        <v>0</v>
      </c>
      <c r="L72" s="1207"/>
      <c r="M72" s="1207">
        <f>ROUND(SUM(O72)-SUM(K72),2)</f>
        <v>0</v>
      </c>
      <c r="N72" s="1207"/>
      <c r="O72" s="1207">
        <v>0</v>
      </c>
      <c r="P72" s="2905"/>
      <c r="Q72" s="2898"/>
    </row>
    <row r="73" spans="2:17" s="2885" customFormat="1" ht="15.5">
      <c r="B73" s="2893">
        <v>30503</v>
      </c>
      <c r="C73" s="2856"/>
      <c r="D73" s="2894" t="s">
        <v>1499</v>
      </c>
      <c r="E73" s="2856"/>
      <c r="F73" s="1207"/>
      <c r="G73" s="1207">
        <v>0</v>
      </c>
      <c r="H73" s="1207"/>
      <c r="I73" s="1207">
        <v>0</v>
      </c>
      <c r="J73" s="1207"/>
      <c r="K73" s="1207">
        <v>0</v>
      </c>
      <c r="L73" s="1207"/>
      <c r="M73" s="1207">
        <f>ROUND(SUM(O73)-SUM(K73),2)</f>
        <v>0</v>
      </c>
      <c r="N73" s="1207"/>
      <c r="O73" s="1207">
        <v>0</v>
      </c>
      <c r="P73" s="2905"/>
      <c r="Q73" s="2898"/>
    </row>
    <row r="74" spans="2:17" s="2885" customFormat="1" ht="15.5">
      <c r="B74" s="2893">
        <v>30504</v>
      </c>
      <c r="C74" s="2856"/>
      <c r="D74" s="2894" t="s">
        <v>1500</v>
      </c>
      <c r="E74" s="2856"/>
      <c r="F74" s="1207"/>
      <c r="G74" s="1207">
        <v>0</v>
      </c>
      <c r="H74" s="1207"/>
      <c r="I74" s="1207">
        <v>0</v>
      </c>
      <c r="J74" s="1207"/>
      <c r="K74" s="1207">
        <v>0</v>
      </c>
      <c r="L74" s="1207"/>
      <c r="M74" s="1207">
        <f>ROUND(SUM(O74)-SUM(K74),2)</f>
        <v>0</v>
      </c>
      <c r="N74" s="1207"/>
      <c r="O74" s="1207">
        <v>0</v>
      </c>
      <c r="P74" s="2905"/>
      <c r="Q74" s="2898"/>
    </row>
    <row r="75" spans="2:17" s="2885" customFormat="1" ht="15.5">
      <c r="B75" s="2893">
        <v>31506</v>
      </c>
      <c r="C75" s="2907"/>
      <c r="D75" s="2908" t="s">
        <v>569</v>
      </c>
      <c r="E75" s="2909"/>
      <c r="F75" s="1207">
        <v>109849194.79000001</v>
      </c>
      <c r="G75" s="1207">
        <v>120224762.79000001</v>
      </c>
      <c r="H75" s="1207"/>
      <c r="I75" s="1207">
        <v>122939482.98999999</v>
      </c>
      <c r="J75" s="1207"/>
      <c r="K75" s="1207">
        <v>110319683.26000001</v>
      </c>
      <c r="L75" s="1207"/>
      <c r="M75" s="1207">
        <f t="shared" si="1"/>
        <v>2219211.14</v>
      </c>
      <c r="N75" s="1207"/>
      <c r="O75" s="1207">
        <v>112538894.40000001</v>
      </c>
      <c r="P75" s="2905"/>
      <c r="Q75" s="2898"/>
    </row>
    <row r="76" spans="2:17" s="2885" customFormat="1" ht="15.5">
      <c r="B76" s="2893">
        <v>31701</v>
      </c>
      <c r="C76" s="2856"/>
      <c r="D76" s="2894" t="s">
        <v>570</v>
      </c>
      <c r="E76" s="2856"/>
      <c r="F76" s="1207">
        <v>7423246.6200000001</v>
      </c>
      <c r="G76" s="1207">
        <v>13011358.4</v>
      </c>
      <c r="H76" s="1207"/>
      <c r="I76" s="1207">
        <v>13390037.15</v>
      </c>
      <c r="J76" s="1207"/>
      <c r="K76" s="1207">
        <v>14290480.449999999</v>
      </c>
      <c r="L76" s="1207"/>
      <c r="M76" s="1207">
        <f t="shared" ref="M76:M83" si="3">ROUND(SUM(O76)-SUM(K76),2)</f>
        <v>964145.75</v>
      </c>
      <c r="N76" s="1207"/>
      <c r="O76" s="1207">
        <v>15254626.199999999</v>
      </c>
      <c r="P76" s="2905"/>
      <c r="Q76" s="2898"/>
    </row>
    <row r="77" spans="2:17" s="2885" customFormat="1" ht="15.5">
      <c r="B77" s="2893">
        <v>31801</v>
      </c>
      <c r="C77" s="2856"/>
      <c r="D77" s="2894" t="s">
        <v>571</v>
      </c>
      <c r="E77" s="2856"/>
      <c r="F77" s="1207">
        <v>13150846.050000001</v>
      </c>
      <c r="G77" s="1207">
        <v>12941967.060000001</v>
      </c>
      <c r="H77" s="1207"/>
      <c r="I77" s="1207">
        <v>12941967.060000001</v>
      </c>
      <c r="J77" s="1207"/>
      <c r="K77" s="1207">
        <v>12941967.060000001</v>
      </c>
      <c r="L77" s="1207"/>
      <c r="M77" s="1207">
        <f t="shared" si="3"/>
        <v>0</v>
      </c>
      <c r="N77" s="1207"/>
      <c r="O77" s="1207">
        <v>12941967.060000001</v>
      </c>
      <c r="P77" s="2905"/>
      <c r="Q77" s="2898"/>
    </row>
    <row r="78" spans="2:17" s="2885" customFormat="1" ht="15.5">
      <c r="B78" s="2893">
        <v>31851</v>
      </c>
      <c r="C78" s="2856"/>
      <c r="D78" s="2906" t="s">
        <v>572</v>
      </c>
      <c r="E78" s="2856"/>
      <c r="F78" s="1207">
        <v>0</v>
      </c>
      <c r="G78" s="1207">
        <v>129266936.45</v>
      </c>
      <c r="H78" s="1207"/>
      <c r="I78" s="1207">
        <v>136215935.44999999</v>
      </c>
      <c r="J78" s="1207"/>
      <c r="K78" s="1207">
        <v>220626177.47</v>
      </c>
      <c r="L78" s="1207"/>
      <c r="M78" s="1207">
        <f t="shared" si="3"/>
        <v>26363893</v>
      </c>
      <c r="N78" s="1207"/>
      <c r="O78" s="1207">
        <v>246990070.47</v>
      </c>
      <c r="P78" s="2905"/>
      <c r="Q78" s="2898"/>
    </row>
    <row r="79" spans="2:17" s="2885" customFormat="1" ht="15.5">
      <c r="B79" s="2893">
        <v>31852</v>
      </c>
      <c r="C79" s="2856"/>
      <c r="D79" s="2894" t="s">
        <v>573</v>
      </c>
      <c r="E79" s="2856"/>
      <c r="F79" s="1207">
        <v>40679225.310000002</v>
      </c>
      <c r="G79" s="1207">
        <v>38695121.719999999</v>
      </c>
      <c r="H79" s="1207"/>
      <c r="I79" s="1207">
        <v>38695121.719999999</v>
      </c>
      <c r="J79" s="1207"/>
      <c r="K79" s="1207">
        <v>40966709.719999999</v>
      </c>
      <c r="L79" s="1207"/>
      <c r="M79" s="1207">
        <f t="shared" si="3"/>
        <v>1133101</v>
      </c>
      <c r="N79" s="1207"/>
      <c r="O79" s="1207">
        <v>42099810.719999999</v>
      </c>
      <c r="P79" s="2905"/>
      <c r="Q79" s="2898"/>
    </row>
    <row r="80" spans="2:17" s="2885" customFormat="1" ht="15.5">
      <c r="B80" s="2893">
        <v>31853</v>
      </c>
      <c r="C80" s="2856"/>
      <c r="D80" s="2906" t="s">
        <v>574</v>
      </c>
      <c r="E80" s="2856"/>
      <c r="F80" s="1207">
        <v>76297899.909999996</v>
      </c>
      <c r="G80" s="1207">
        <v>102446517.14</v>
      </c>
      <c r="H80" s="1207"/>
      <c r="I80" s="1207">
        <v>107646517.14</v>
      </c>
      <c r="J80" s="1207"/>
      <c r="K80" s="1207">
        <v>116146517.14</v>
      </c>
      <c r="L80" s="1207"/>
      <c r="M80" s="1207">
        <f t="shared" si="3"/>
        <v>0</v>
      </c>
      <c r="N80" s="1207"/>
      <c r="O80" s="1207">
        <v>116146517.14</v>
      </c>
      <c r="P80" s="2905"/>
      <c r="Q80" s="2898"/>
    </row>
    <row r="81" spans="2:17" s="2885" customFormat="1" ht="15.5">
      <c r="B81" s="2893">
        <v>31854</v>
      </c>
      <c r="C81" s="2856"/>
      <c r="D81" s="2906" t="s">
        <v>1501</v>
      </c>
      <c r="E81" s="2856"/>
      <c r="F81" s="1207"/>
      <c r="G81" s="1207">
        <v>0</v>
      </c>
      <c r="H81" s="1207"/>
      <c r="I81" s="1207">
        <v>0</v>
      </c>
      <c r="J81" s="1207"/>
      <c r="K81" s="1207">
        <v>0</v>
      </c>
      <c r="L81" s="1207"/>
      <c r="M81" s="1207">
        <f t="shared" ref="M81" si="4">ROUND(SUM(O81)-SUM(K81),2)</f>
        <v>0</v>
      </c>
      <c r="N81" s="1207"/>
      <c r="O81" s="1207">
        <v>0</v>
      </c>
      <c r="P81" s="2905"/>
      <c r="Q81" s="2898"/>
    </row>
    <row r="82" spans="2:17" s="2885" customFormat="1" ht="15.5">
      <c r="B82" s="2893">
        <v>31951</v>
      </c>
      <c r="C82" s="2856"/>
      <c r="D82" s="2906" t="s">
        <v>575</v>
      </c>
      <c r="E82" s="2856"/>
      <c r="F82" s="1207">
        <v>12348115.710000001</v>
      </c>
      <c r="G82" s="1207">
        <v>11956479.77</v>
      </c>
      <c r="H82" s="1207"/>
      <c r="I82" s="1207">
        <v>11956479.77</v>
      </c>
      <c r="J82" s="1207"/>
      <c r="K82" s="1207">
        <v>11970753.74</v>
      </c>
      <c r="L82" s="1207"/>
      <c r="M82" s="1207">
        <f t="shared" si="3"/>
        <v>0</v>
      </c>
      <c r="N82" s="1207"/>
      <c r="O82" s="1207">
        <v>11970753.74</v>
      </c>
      <c r="P82" s="2905"/>
      <c r="Q82" s="2898"/>
    </row>
    <row r="83" spans="2:17" s="2885" customFormat="1" ht="15.5">
      <c r="B83" s="2893">
        <v>32213</v>
      </c>
      <c r="C83" s="2856"/>
      <c r="D83" s="2894" t="s">
        <v>576</v>
      </c>
      <c r="E83" s="2856"/>
      <c r="F83" s="1207">
        <v>153750</v>
      </c>
      <c r="G83" s="1207">
        <v>153750</v>
      </c>
      <c r="H83" s="1207"/>
      <c r="I83" s="1207">
        <v>153750</v>
      </c>
      <c r="J83" s="1207"/>
      <c r="K83" s="1207">
        <v>153750</v>
      </c>
      <c r="L83" s="1207"/>
      <c r="M83" s="1207">
        <f t="shared" si="3"/>
        <v>0</v>
      </c>
      <c r="N83" s="1207"/>
      <c r="O83" s="1207">
        <v>153750</v>
      </c>
      <c r="P83" s="2905"/>
      <c r="Q83" s="2898"/>
    </row>
    <row r="84" spans="2:17" s="2885" customFormat="1" ht="15.5">
      <c r="B84" s="2893">
        <v>32214</v>
      </c>
      <c r="C84" s="2856"/>
      <c r="D84" s="2894" t="s">
        <v>1185</v>
      </c>
      <c r="E84" s="2856"/>
      <c r="F84" s="1207"/>
      <c r="G84" s="1207">
        <v>0</v>
      </c>
      <c r="H84" s="1207"/>
      <c r="I84" s="1207">
        <v>0</v>
      </c>
      <c r="J84" s="1207"/>
      <c r="K84" s="1207">
        <v>0</v>
      </c>
      <c r="L84" s="1207"/>
      <c r="M84" s="1207">
        <f t="shared" ref="M84" si="5">ROUND(SUM(O84)-SUM(K84),2)</f>
        <v>0</v>
      </c>
      <c r="N84" s="1207"/>
      <c r="O84" s="1207">
        <v>0</v>
      </c>
      <c r="P84" s="2905"/>
      <c r="Q84" s="2898"/>
    </row>
    <row r="85" spans="2:17" s="2885" customFormat="1" ht="15.5">
      <c r="B85" s="2893">
        <v>32215</v>
      </c>
      <c r="C85" s="2856"/>
      <c r="D85" s="2894" t="s">
        <v>1159</v>
      </c>
      <c r="E85" s="2856"/>
      <c r="F85" s="1207"/>
      <c r="G85" s="1207">
        <v>5226104.01</v>
      </c>
      <c r="H85" s="1207"/>
      <c r="I85" s="1207">
        <v>5669893.0700000003</v>
      </c>
      <c r="J85" s="1207"/>
      <c r="K85" s="1207">
        <v>7469744.2000000002</v>
      </c>
      <c r="L85" s="1207"/>
      <c r="M85" s="1207">
        <f>ROUND(SUM(O85)-SUM(K85),2)</f>
        <v>366927.95</v>
      </c>
      <c r="N85" s="1207"/>
      <c r="O85" s="1207">
        <v>7836672.1500000004</v>
      </c>
      <c r="P85" s="2905"/>
      <c r="Q85" s="2898"/>
    </row>
    <row r="86" spans="2:17" s="2885" customFormat="1" ht="15.5">
      <c r="B86" s="2893">
        <v>32219</v>
      </c>
      <c r="C86" s="2856"/>
      <c r="D86" s="2894" t="s">
        <v>1217</v>
      </c>
      <c r="E86" s="2856"/>
      <c r="F86" s="1207"/>
      <c r="G86" s="1207">
        <v>0</v>
      </c>
      <c r="H86" s="1207"/>
      <c r="I86" s="1207">
        <v>0</v>
      </c>
      <c r="J86" s="1207"/>
      <c r="K86" s="1207">
        <v>0</v>
      </c>
      <c r="L86" s="1207"/>
      <c r="M86" s="1207">
        <f>ROUND(SUM(O86)-SUM(K86),2)</f>
        <v>0</v>
      </c>
      <c r="N86" s="1207"/>
      <c r="O86" s="1207">
        <v>0</v>
      </c>
      <c r="P86" s="2905"/>
      <c r="Q86" s="2898"/>
    </row>
    <row r="87" spans="2:17" s="2885" customFormat="1" ht="15.5">
      <c r="B87" s="2893">
        <v>32301</v>
      </c>
      <c r="C87" s="2856"/>
      <c r="D87" s="2894" t="s">
        <v>1502</v>
      </c>
      <c r="E87" s="2856"/>
      <c r="F87" s="1207"/>
      <c r="G87" s="1207">
        <v>0</v>
      </c>
      <c r="H87" s="1207"/>
      <c r="I87" s="1207">
        <v>0</v>
      </c>
      <c r="J87" s="1207"/>
      <c r="K87" s="1207">
        <v>0</v>
      </c>
      <c r="L87" s="1207"/>
      <c r="M87" s="1207">
        <f t="shared" ref="M87:M88" si="6">ROUND(SUM(O87)-SUM(K87),2)</f>
        <v>0</v>
      </c>
      <c r="N87" s="1207"/>
      <c r="O87" s="1207">
        <v>0</v>
      </c>
      <c r="P87" s="2905"/>
      <c r="Q87" s="2898"/>
    </row>
    <row r="88" spans="2:17" s="2885" customFormat="1" ht="15.5">
      <c r="B88" s="2893">
        <v>32302</v>
      </c>
      <c r="C88" s="2856"/>
      <c r="D88" s="2894" t="s">
        <v>1503</v>
      </c>
      <c r="E88" s="2856"/>
      <c r="F88" s="1207"/>
      <c r="G88" s="1207">
        <v>0</v>
      </c>
      <c r="H88" s="1207"/>
      <c r="I88" s="1207">
        <v>0</v>
      </c>
      <c r="J88" s="1207"/>
      <c r="K88" s="1207">
        <v>0</v>
      </c>
      <c r="L88" s="1207"/>
      <c r="M88" s="1207">
        <f t="shared" si="6"/>
        <v>0</v>
      </c>
      <c r="N88" s="1207"/>
      <c r="O88" s="1207">
        <v>0</v>
      </c>
      <c r="P88" s="2905"/>
      <c r="Q88" s="2898"/>
    </row>
    <row r="89" spans="2:17" s="2885" customFormat="1" ht="15.5">
      <c r="B89" s="2893">
        <v>32303</v>
      </c>
      <c r="C89" s="2856"/>
      <c r="D89" s="2894" t="s">
        <v>577</v>
      </c>
      <c r="E89" s="2909"/>
      <c r="F89" s="1207">
        <v>87723047.260000005</v>
      </c>
      <c r="G89" s="1207">
        <v>72271381.760000005</v>
      </c>
      <c r="H89" s="1207"/>
      <c r="I89" s="1207">
        <v>73275852.430000007</v>
      </c>
      <c r="J89" s="1207"/>
      <c r="K89" s="1207">
        <v>73198521.629999995</v>
      </c>
      <c r="L89" s="1207"/>
      <c r="M89" s="1207">
        <f>ROUND(SUM(O89)-SUM(K89),2)</f>
        <v>998807.89</v>
      </c>
      <c r="N89" s="1207"/>
      <c r="O89" s="1207">
        <v>74197329.519999996</v>
      </c>
      <c r="P89" s="2905"/>
      <c r="Q89" s="2898"/>
    </row>
    <row r="90" spans="2:17" s="2885" customFormat="1" ht="15.5">
      <c r="B90" s="2893">
        <v>32304</v>
      </c>
      <c r="C90" s="2856"/>
      <c r="D90" s="2894" t="s">
        <v>1504</v>
      </c>
      <c r="E90" s="2909"/>
      <c r="F90" s="1207"/>
      <c r="G90" s="1207">
        <v>0</v>
      </c>
      <c r="H90" s="1207"/>
      <c r="I90" s="1207">
        <v>0</v>
      </c>
      <c r="J90" s="1207"/>
      <c r="K90" s="1207">
        <v>0</v>
      </c>
      <c r="L90" s="1207"/>
      <c r="M90" s="1207">
        <f>ROUND(SUM(O90)-SUM(K90),2)</f>
        <v>0</v>
      </c>
      <c r="N90" s="1207"/>
      <c r="O90" s="1207">
        <v>0</v>
      </c>
      <c r="P90" s="2905"/>
      <c r="Q90" s="2898"/>
    </row>
    <row r="91" spans="2:17" s="2885" customFormat="1" ht="15.5">
      <c r="B91" s="2893">
        <v>32305</v>
      </c>
      <c r="C91" s="2856"/>
      <c r="D91" s="2894" t="s">
        <v>927</v>
      </c>
      <c r="E91" s="2909"/>
      <c r="F91" s="1207">
        <v>172362230.61000001</v>
      </c>
      <c r="G91" s="1207">
        <v>184405566.97</v>
      </c>
      <c r="H91" s="1207"/>
      <c r="I91" s="1207">
        <v>191405566.97</v>
      </c>
      <c r="J91" s="1207"/>
      <c r="K91" s="1207">
        <v>187018085.13999999</v>
      </c>
      <c r="L91" s="1207"/>
      <c r="M91" s="1207">
        <f t="shared" ref="M91:M101" si="7">ROUND(SUM(O91)-SUM(K91),2)</f>
        <v>0</v>
      </c>
      <c r="N91" s="1207"/>
      <c r="O91" s="1207">
        <v>187018085.13999999</v>
      </c>
      <c r="P91" s="2905"/>
      <c r="Q91" s="2898"/>
    </row>
    <row r="92" spans="2:17" s="2885" customFormat="1" ht="15.5">
      <c r="B92" s="2893">
        <v>32306</v>
      </c>
      <c r="C92" s="2856"/>
      <c r="D92" s="2894" t="s">
        <v>1505</v>
      </c>
      <c r="E92" s="2909"/>
      <c r="F92" s="1207"/>
      <c r="G92" s="1207">
        <v>0</v>
      </c>
      <c r="H92" s="1207"/>
      <c r="I92" s="1207">
        <v>0</v>
      </c>
      <c r="J92" s="1207"/>
      <c r="K92" s="1207">
        <v>0</v>
      </c>
      <c r="L92" s="1207"/>
      <c r="M92" s="1207">
        <f t="shared" ref="M92" si="8">ROUND(SUM(O92)-SUM(K92),2)</f>
        <v>0</v>
      </c>
      <c r="N92" s="1207"/>
      <c r="O92" s="1207">
        <v>0</v>
      </c>
      <c r="P92" s="2905"/>
      <c r="Q92" s="2898"/>
    </row>
    <row r="93" spans="2:17" s="2885" customFormat="1" ht="15.5">
      <c r="B93" s="2893">
        <v>32307</v>
      </c>
      <c r="C93" s="2856"/>
      <c r="D93" s="2906" t="s">
        <v>578</v>
      </c>
      <c r="E93" s="2909"/>
      <c r="F93" s="1207">
        <v>5430710.0300000003</v>
      </c>
      <c r="G93" s="1207">
        <v>11650968.390000001</v>
      </c>
      <c r="H93" s="1207"/>
      <c r="I93" s="1207">
        <v>4369852.32</v>
      </c>
      <c r="J93" s="1207"/>
      <c r="K93" s="1207">
        <v>4369852.32</v>
      </c>
      <c r="L93" s="1207"/>
      <c r="M93" s="1207">
        <f t="shared" si="7"/>
        <v>0</v>
      </c>
      <c r="N93" s="1207"/>
      <c r="O93" s="1207">
        <v>4369852.32</v>
      </c>
      <c r="P93" s="2905"/>
      <c r="Q93" s="2898"/>
    </row>
    <row r="94" spans="2:17" s="2885" customFormat="1" ht="15.5">
      <c r="B94" s="2893">
        <v>32308</v>
      </c>
      <c r="C94" s="2856"/>
      <c r="D94" s="2906" t="s">
        <v>579</v>
      </c>
      <c r="E94" s="2909"/>
      <c r="F94" s="1207">
        <v>539890.44999999995</v>
      </c>
      <c r="G94" s="1207">
        <v>2581221.2000000002</v>
      </c>
      <c r="H94" s="1207"/>
      <c r="I94" s="1207">
        <v>1483213.09</v>
      </c>
      <c r="J94" s="1207"/>
      <c r="K94" s="1207">
        <v>1483213.09</v>
      </c>
      <c r="L94" s="1207"/>
      <c r="M94" s="1207">
        <f t="shared" si="7"/>
        <v>0</v>
      </c>
      <c r="N94" s="1207"/>
      <c r="O94" s="1207">
        <v>1483213.09</v>
      </c>
      <c r="P94" s="2905"/>
      <c r="Q94" s="2898"/>
    </row>
    <row r="95" spans="2:17" s="2885" customFormat="1" ht="15.5">
      <c r="B95" s="2893">
        <v>32309</v>
      </c>
      <c r="C95" s="2856"/>
      <c r="D95" s="2906" t="s">
        <v>580</v>
      </c>
      <c r="E95" s="2909"/>
      <c r="F95" s="1207">
        <v>104401100.42</v>
      </c>
      <c r="G95" s="1207">
        <v>178340759.27000001</v>
      </c>
      <c r="H95" s="1207"/>
      <c r="I95" s="1207">
        <v>171564249.62</v>
      </c>
      <c r="J95" s="1207"/>
      <c r="K95" s="1207">
        <v>131339974.31999999</v>
      </c>
      <c r="L95" s="1207"/>
      <c r="M95" s="1207">
        <f t="shared" si="7"/>
        <v>3616644.99</v>
      </c>
      <c r="N95" s="1207"/>
      <c r="O95" s="1207">
        <v>134956619.31</v>
      </c>
      <c r="P95" s="2905"/>
      <c r="Q95" s="2898"/>
    </row>
    <row r="96" spans="2:17" s="2885" customFormat="1" ht="15.5">
      <c r="B96" s="2893">
        <v>32310</v>
      </c>
      <c r="C96" s="2856"/>
      <c r="D96" s="2906" t="s">
        <v>581</v>
      </c>
      <c r="E96" s="2909"/>
      <c r="F96" s="1207">
        <v>0</v>
      </c>
      <c r="G96" s="1207">
        <v>31697903.16</v>
      </c>
      <c r="H96" s="1207"/>
      <c r="I96" s="1207">
        <v>31697903.16</v>
      </c>
      <c r="J96" s="1207"/>
      <c r="K96" s="1207">
        <v>38392326.770000003</v>
      </c>
      <c r="L96" s="1207"/>
      <c r="M96" s="1207">
        <f t="shared" si="7"/>
        <v>1916213</v>
      </c>
      <c r="N96" s="1207"/>
      <c r="O96" s="1207">
        <v>40308539.770000003</v>
      </c>
      <c r="P96" s="2905"/>
      <c r="Q96" s="2898"/>
    </row>
    <row r="97" spans="2:17" s="2885" customFormat="1" ht="15.5">
      <c r="B97" s="2893">
        <v>32311</v>
      </c>
      <c r="C97" s="2856"/>
      <c r="D97" s="3890" t="s">
        <v>582</v>
      </c>
      <c r="E97" s="2909"/>
      <c r="F97" s="1207">
        <v>2486315.4700000002</v>
      </c>
      <c r="G97" s="1207">
        <v>3282024.25</v>
      </c>
      <c r="H97" s="1207"/>
      <c r="I97" s="1207">
        <v>3282024.25</v>
      </c>
      <c r="J97" s="1207"/>
      <c r="K97" s="1207">
        <v>5095981.17</v>
      </c>
      <c r="L97" s="1207"/>
      <c r="M97" s="1207">
        <f t="shared" si="7"/>
        <v>-5095981.17</v>
      </c>
      <c r="N97" s="1207"/>
      <c r="O97" s="1207">
        <v>0</v>
      </c>
      <c r="P97" s="2905"/>
      <c r="Q97" s="2898"/>
    </row>
    <row r="98" spans="2:17" s="2885" customFormat="1" ht="15.5">
      <c r="B98" s="2893">
        <v>32351</v>
      </c>
      <c r="C98" s="3884"/>
      <c r="D98" s="2906" t="s">
        <v>583</v>
      </c>
      <c r="E98" s="2909"/>
      <c r="F98" s="1207"/>
      <c r="G98" s="1207">
        <v>0</v>
      </c>
      <c r="H98" s="1207"/>
      <c r="I98" s="1207">
        <v>0</v>
      </c>
      <c r="J98" s="1207"/>
      <c r="K98" s="1207">
        <v>0</v>
      </c>
      <c r="L98" s="1207"/>
      <c r="M98" s="1207">
        <f t="shared" si="7"/>
        <v>0</v>
      </c>
      <c r="N98" s="1207"/>
      <c r="O98" s="1207">
        <v>0</v>
      </c>
      <c r="P98" s="2905"/>
      <c r="Q98" s="2898"/>
    </row>
    <row r="99" spans="2:17" s="2885" customFormat="1" ht="15.5">
      <c r="B99" s="2910">
        <v>32352</v>
      </c>
      <c r="C99" s="2911"/>
      <c r="D99" s="2912" t="s">
        <v>584</v>
      </c>
      <c r="E99" s="2913"/>
      <c r="F99" s="1207">
        <v>65245293.57</v>
      </c>
      <c r="G99" s="1207">
        <v>214987658.41</v>
      </c>
      <c r="H99" s="1207"/>
      <c r="I99" s="1207">
        <v>246392114.84999999</v>
      </c>
      <c r="J99" s="1207"/>
      <c r="K99" s="1207">
        <v>169126625.24000001</v>
      </c>
      <c r="L99" s="1207"/>
      <c r="M99" s="1207">
        <f t="shared" ref="M99" si="9">ROUND(SUM(O99)-SUM(K99),2)</f>
        <v>17731128.27</v>
      </c>
      <c r="N99" s="1207"/>
      <c r="O99" s="1207">
        <v>186857753.50999999</v>
      </c>
      <c r="P99" s="2914"/>
      <c r="Q99" s="2898"/>
    </row>
    <row r="100" spans="2:17" s="2885" customFormat="1" ht="15.5">
      <c r="B100" s="2910">
        <v>32353</v>
      </c>
      <c r="C100" s="3885"/>
      <c r="D100" s="2912" t="s">
        <v>1506</v>
      </c>
      <c r="E100" s="2913"/>
      <c r="F100" s="1207"/>
      <c r="G100" s="1207">
        <v>0</v>
      </c>
      <c r="H100" s="1207"/>
      <c r="I100" s="1207">
        <v>0</v>
      </c>
      <c r="J100" s="1207"/>
      <c r="K100" s="1207">
        <v>0</v>
      </c>
      <c r="L100" s="1207"/>
      <c r="M100" s="1207">
        <f t="shared" ref="M100" si="10">ROUND(SUM(O100)-SUM(K100),2)</f>
        <v>0</v>
      </c>
      <c r="N100" s="1207"/>
      <c r="O100" s="1207">
        <v>0</v>
      </c>
      <c r="P100" s="2914"/>
      <c r="Q100" s="2898"/>
    </row>
    <row r="101" spans="2:17" s="2885" customFormat="1" ht="15.5">
      <c r="B101" s="2893">
        <v>33001</v>
      </c>
      <c r="C101" s="2856"/>
      <c r="D101" s="2894" t="s">
        <v>585</v>
      </c>
      <c r="E101" s="2909"/>
      <c r="F101" s="1207">
        <v>10000000</v>
      </c>
      <c r="G101" s="1207">
        <v>55800568.969999999</v>
      </c>
      <c r="H101" s="1207"/>
      <c r="I101" s="1207">
        <v>55763946.280000001</v>
      </c>
      <c r="J101" s="1207"/>
      <c r="K101" s="1207">
        <v>54228098.729999997</v>
      </c>
      <c r="L101" s="1207"/>
      <c r="M101" s="1207">
        <f t="shared" si="7"/>
        <v>-16507.919999999998</v>
      </c>
      <c r="N101" s="1207"/>
      <c r="O101" s="1207">
        <v>54211590.810000002</v>
      </c>
      <c r="P101" s="2905"/>
      <c r="Q101" s="2898"/>
    </row>
    <row r="102" spans="2:17" s="2885" customFormat="1" ht="16" thickBot="1">
      <c r="B102" s="2915"/>
      <c r="C102" s="2916"/>
      <c r="D102" s="2900" t="s">
        <v>586</v>
      </c>
      <c r="E102" s="2889"/>
      <c r="F102" s="2889"/>
      <c r="G102" s="1574">
        <f>ROUND(SUM(G14:G101),2)</f>
        <v>1572072134.55</v>
      </c>
      <c r="H102" s="2118"/>
      <c r="I102" s="1574">
        <f>ROUND(SUM(I14:I101),2)</f>
        <v>1301404116.26</v>
      </c>
      <c r="J102" s="2118"/>
      <c r="K102" s="1574">
        <f>ROUND(SUM(K14:K101),2)</f>
        <v>1279340982.52</v>
      </c>
      <c r="L102" s="2532"/>
      <c r="M102" s="1209">
        <f>ROUND(SUM(M14:M101),2)</f>
        <v>14339185.380000001</v>
      </c>
      <c r="N102" s="2532"/>
      <c r="O102" s="1574">
        <f>ROUND(SUM(O14:O101),2)</f>
        <v>1293680167.9000001</v>
      </c>
      <c r="P102" s="2905"/>
      <c r="Q102" s="2898"/>
    </row>
    <row r="103" spans="2:17" s="2885" customFormat="1" ht="16" thickTop="1">
      <c r="B103" s="2917"/>
      <c r="C103" s="2917"/>
      <c r="D103" s="2918"/>
      <c r="E103" s="2892"/>
      <c r="F103" s="2892"/>
      <c r="G103" s="802"/>
      <c r="H103" s="803"/>
      <c r="I103" s="2919"/>
      <c r="J103" s="803"/>
      <c r="K103" s="2919"/>
      <c r="L103" s="803"/>
      <c r="M103" s="802"/>
      <c r="N103" s="803"/>
      <c r="O103" s="3609"/>
      <c r="P103" s="2920"/>
      <c r="Q103" s="2898"/>
    </row>
    <row r="104" spans="2:17" s="2885" customFormat="1" ht="15.5">
      <c r="B104" s="2886"/>
      <c r="C104" s="2916"/>
      <c r="D104" s="2921" t="s">
        <v>587</v>
      </c>
      <c r="E104" s="2922"/>
      <c r="F104" s="2922"/>
      <c r="G104" s="2923"/>
      <c r="H104" s="2923"/>
      <c r="I104" s="2924"/>
      <c r="J104" s="2923"/>
      <c r="K104" s="2924"/>
      <c r="L104" s="2923"/>
      <c r="M104" s="1480"/>
      <c r="N104" s="1480"/>
      <c r="O104" s="3610"/>
      <c r="P104" s="2892"/>
      <c r="Q104" s="2898"/>
    </row>
    <row r="105" spans="2:17" s="3079" customFormat="1" ht="15.5">
      <c r="B105" s="2893">
        <v>20401</v>
      </c>
      <c r="C105" s="3500"/>
      <c r="D105" s="2912" t="s">
        <v>1273</v>
      </c>
      <c r="E105" s="3501"/>
      <c r="F105" s="3501"/>
      <c r="G105" s="1207">
        <v>0</v>
      </c>
      <c r="H105" s="3100"/>
      <c r="I105" s="1207">
        <v>0</v>
      </c>
      <c r="J105" s="3100"/>
      <c r="K105" s="1207">
        <v>0</v>
      </c>
      <c r="L105" s="3100"/>
      <c r="M105" s="1207">
        <f t="shared" ref="M105:M167" si="11">ROUND(SUM(O105)-SUM(K105),2)</f>
        <v>0</v>
      </c>
      <c r="N105" s="3502"/>
      <c r="O105" s="1207">
        <v>0</v>
      </c>
      <c r="P105" s="3503"/>
      <c r="Q105" s="3078"/>
    </row>
    <row r="106" spans="2:17" s="3079" customFormat="1" ht="15.5">
      <c r="B106" s="2893">
        <v>20452</v>
      </c>
      <c r="C106" s="3500"/>
      <c r="D106" s="2912" t="s">
        <v>1507</v>
      </c>
      <c r="E106" s="3501"/>
      <c r="F106" s="3501"/>
      <c r="G106" s="1207">
        <v>0</v>
      </c>
      <c r="H106" s="641"/>
      <c r="I106" s="1207">
        <v>0</v>
      </c>
      <c r="J106" s="641"/>
      <c r="K106" s="1207">
        <v>0</v>
      </c>
      <c r="L106" s="641"/>
      <c r="M106" s="1207">
        <f>ROUND(SUM(O106)-SUM(K106),2)</f>
        <v>0</v>
      </c>
      <c r="N106" s="641"/>
      <c r="O106" s="1207">
        <v>0</v>
      </c>
      <c r="P106" s="3503" t="s">
        <v>1522</v>
      </c>
      <c r="Q106" s="3078" t="s">
        <v>14</v>
      </c>
    </row>
    <row r="107" spans="2:17" s="2885" customFormat="1" ht="15.5">
      <c r="B107" s="2893">
        <v>20501</v>
      </c>
      <c r="C107" s="2925"/>
      <c r="D107" s="2894" t="s">
        <v>588</v>
      </c>
      <c r="E107" s="2926"/>
      <c r="F107" s="2926"/>
      <c r="G107" s="1207">
        <v>0</v>
      </c>
      <c r="H107" s="1207"/>
      <c r="I107" s="1207">
        <v>0</v>
      </c>
      <c r="J107" s="1207"/>
      <c r="K107" s="1207">
        <v>0</v>
      </c>
      <c r="L107" s="1207"/>
      <c r="M107" s="1207">
        <f t="shared" si="11"/>
        <v>0</v>
      </c>
      <c r="N107" s="1207"/>
      <c r="O107" s="1207">
        <v>0</v>
      </c>
      <c r="P107" s="2905"/>
      <c r="Q107" s="2898"/>
    </row>
    <row r="108" spans="2:17" s="2885" customFormat="1" ht="15.5">
      <c r="B108" s="2893">
        <v>20810</v>
      </c>
      <c r="C108" s="2907"/>
      <c r="D108" s="2927" t="s">
        <v>589</v>
      </c>
      <c r="E108" s="2909"/>
      <c r="F108" s="2909"/>
      <c r="G108" s="1207">
        <v>43991008.240000002</v>
      </c>
      <c r="H108" s="1207"/>
      <c r="I108" s="1207">
        <v>0</v>
      </c>
      <c r="J108" s="1207"/>
      <c r="K108" s="1207">
        <v>0</v>
      </c>
      <c r="L108" s="1207"/>
      <c r="M108" s="1207">
        <f t="shared" si="11"/>
        <v>31613636.109999999</v>
      </c>
      <c r="N108" s="1207"/>
      <c r="O108" s="1207">
        <v>31613636.109999999</v>
      </c>
      <c r="P108" s="2148"/>
      <c r="Q108" s="2898"/>
    </row>
    <row r="109" spans="2:17" s="2885" customFormat="1" ht="15.5">
      <c r="B109" s="2893">
        <v>20818</v>
      </c>
      <c r="C109" s="2907"/>
      <c r="D109" s="2927" t="s">
        <v>590</v>
      </c>
      <c r="E109" s="2909"/>
      <c r="F109" s="2909"/>
      <c r="G109" s="1207">
        <v>0</v>
      </c>
      <c r="H109" s="1207"/>
      <c r="I109" s="1207">
        <v>0</v>
      </c>
      <c r="J109" s="1207"/>
      <c r="K109" s="1207">
        <v>0</v>
      </c>
      <c r="L109" s="1207"/>
      <c r="M109" s="1207">
        <f t="shared" si="11"/>
        <v>0</v>
      </c>
      <c r="N109" s="1207"/>
      <c r="O109" s="1207">
        <v>0</v>
      </c>
      <c r="P109" s="2148"/>
      <c r="Q109" s="2898"/>
    </row>
    <row r="110" spans="2:17" s="2885" customFormat="1" ht="15.5">
      <c r="B110" s="2893">
        <v>20901</v>
      </c>
      <c r="C110" s="2907"/>
      <c r="D110" s="2927" t="s">
        <v>591</v>
      </c>
      <c r="E110" s="2909"/>
      <c r="F110" s="2909"/>
      <c r="G110" s="1207">
        <v>853561887.69000006</v>
      </c>
      <c r="H110" s="1207"/>
      <c r="I110" s="1207">
        <v>697556168.54999995</v>
      </c>
      <c r="J110" s="1207"/>
      <c r="K110" s="1207">
        <v>0</v>
      </c>
      <c r="L110" s="1207"/>
      <c r="M110" s="1207">
        <f t="shared" si="11"/>
        <v>0</v>
      </c>
      <c r="N110" s="1207"/>
      <c r="O110" s="1207">
        <v>0</v>
      </c>
      <c r="P110" s="2148"/>
      <c r="Q110" s="2898"/>
    </row>
    <row r="111" spans="2:17" s="2885" customFormat="1" ht="15.5">
      <c r="B111" s="2893">
        <v>20904</v>
      </c>
      <c r="C111" s="2928"/>
      <c r="D111" s="2929" t="s">
        <v>592</v>
      </c>
      <c r="E111" s="2913"/>
      <c r="F111" s="2913"/>
      <c r="G111" s="1207">
        <v>437408602.19</v>
      </c>
      <c r="H111" s="1207"/>
      <c r="I111" s="1207">
        <v>531970401.5</v>
      </c>
      <c r="J111" s="1207"/>
      <c r="K111" s="1207">
        <v>0</v>
      </c>
      <c r="L111" s="1207"/>
      <c r="M111" s="1207">
        <f t="shared" si="11"/>
        <v>0</v>
      </c>
      <c r="N111" s="1207"/>
      <c r="O111" s="1207">
        <v>0</v>
      </c>
      <c r="P111" s="2148"/>
      <c r="Q111" s="2898"/>
    </row>
    <row r="112" spans="2:17" s="2885" customFormat="1" ht="15.5">
      <c r="B112" s="2893">
        <v>21001</v>
      </c>
      <c r="C112" s="2928"/>
      <c r="D112" s="2929" t="s">
        <v>1508</v>
      </c>
      <c r="E112" s="2913"/>
      <c r="F112" s="2913"/>
      <c r="G112" s="1207">
        <v>0</v>
      </c>
      <c r="H112" s="1207"/>
      <c r="I112" s="1207">
        <v>0</v>
      </c>
      <c r="J112" s="1207"/>
      <c r="K112" s="1207">
        <v>0</v>
      </c>
      <c r="L112" s="1207"/>
      <c r="M112" s="1207">
        <f>ROUND(SUM(O112)-SUM(K112),2)</f>
        <v>0</v>
      </c>
      <c r="N112" s="1207"/>
      <c r="O112" s="1207">
        <v>0</v>
      </c>
      <c r="P112" s="2148"/>
      <c r="Q112" s="2898"/>
    </row>
    <row r="113" spans="2:17" s="2885" customFormat="1" ht="15.5">
      <c r="B113" s="2893">
        <v>21002</v>
      </c>
      <c r="C113" s="2907"/>
      <c r="D113" s="2927" t="s">
        <v>1229</v>
      </c>
      <c r="E113" s="2909"/>
      <c r="F113" s="2909"/>
      <c r="G113" s="1207">
        <v>3964363.48</v>
      </c>
      <c r="H113" s="1207"/>
      <c r="I113" s="1207">
        <v>4016135.26</v>
      </c>
      <c r="J113" s="1207"/>
      <c r="K113" s="1207">
        <v>3233406.1</v>
      </c>
      <c r="L113" s="1207"/>
      <c r="M113" s="1207">
        <f t="shared" si="11"/>
        <v>49531.41</v>
      </c>
      <c r="N113" s="1207"/>
      <c r="O113" s="1207">
        <v>3282937.51</v>
      </c>
      <c r="P113" s="2148"/>
      <c r="Q113" s="2898"/>
    </row>
    <row r="114" spans="2:17" s="2885" customFormat="1" ht="15.5">
      <c r="B114" s="2893">
        <v>21061</v>
      </c>
      <c r="C114" s="2907"/>
      <c r="D114" s="2927" t="s">
        <v>593</v>
      </c>
      <c r="E114" s="2909"/>
      <c r="F114" s="2909"/>
      <c r="G114" s="1207">
        <v>0</v>
      </c>
      <c r="H114" s="1207"/>
      <c r="I114" s="1207">
        <v>0</v>
      </c>
      <c r="J114" s="1207"/>
      <c r="K114" s="1207">
        <v>0</v>
      </c>
      <c r="L114" s="1207"/>
      <c r="M114" s="1207">
        <f t="shared" si="11"/>
        <v>0</v>
      </c>
      <c r="N114" s="1207"/>
      <c r="O114" s="1207">
        <v>0</v>
      </c>
      <c r="P114" s="2148"/>
      <c r="Q114" s="2898"/>
    </row>
    <row r="115" spans="2:17" s="2885" customFormat="1" ht="15.5">
      <c r="B115" s="2893">
        <v>21064</v>
      </c>
      <c r="C115" s="2907"/>
      <c r="D115" s="2927" t="s">
        <v>1218</v>
      </c>
      <c r="E115" s="2909"/>
      <c r="F115" s="2909"/>
      <c r="G115" s="1207">
        <v>3324199.99</v>
      </c>
      <c r="H115" s="1207"/>
      <c r="I115" s="1207">
        <v>3324199.99</v>
      </c>
      <c r="J115" s="1207"/>
      <c r="K115" s="1207">
        <v>3324199.99</v>
      </c>
      <c r="L115" s="1207"/>
      <c r="M115" s="1207">
        <f t="shared" ref="M115" si="12">ROUND(SUM(O115)-SUM(K115),2)</f>
        <v>0</v>
      </c>
      <c r="N115" s="1207"/>
      <c r="O115" s="1207">
        <v>3324199.99</v>
      </c>
      <c r="P115" s="2148"/>
      <c r="Q115" s="2898"/>
    </row>
    <row r="116" spans="2:17" s="2885" customFormat="1" ht="15.5">
      <c r="B116" s="2893">
        <v>21065</v>
      </c>
      <c r="C116" s="2907"/>
      <c r="D116" s="2927" t="s">
        <v>594</v>
      </c>
      <c r="E116" s="2909"/>
      <c r="F116" s="2909"/>
      <c r="G116" s="1207">
        <v>1421973.93</v>
      </c>
      <c r="H116" s="1207"/>
      <c r="I116" s="1207">
        <v>2084600.58</v>
      </c>
      <c r="J116" s="1207"/>
      <c r="K116" s="1207">
        <v>0</v>
      </c>
      <c r="L116" s="1207"/>
      <c r="M116" s="1207">
        <f t="shared" si="11"/>
        <v>290745.42</v>
      </c>
      <c r="N116" s="1207"/>
      <c r="O116" s="1207">
        <v>290745.42</v>
      </c>
      <c r="P116" s="2148"/>
      <c r="Q116" s="2898"/>
    </row>
    <row r="117" spans="2:17" s="2885" customFormat="1" ht="15.5">
      <c r="B117" s="2893">
        <v>21066</v>
      </c>
      <c r="C117" s="2907"/>
      <c r="D117" s="2908" t="s">
        <v>595</v>
      </c>
      <c r="E117" s="2909"/>
      <c r="F117" s="2909"/>
      <c r="G117" s="1207">
        <v>4116249.18</v>
      </c>
      <c r="H117" s="1207"/>
      <c r="I117" s="1207">
        <v>4551767.13</v>
      </c>
      <c r="J117" s="1207"/>
      <c r="K117" s="1207">
        <v>4255831.32</v>
      </c>
      <c r="L117" s="1207"/>
      <c r="M117" s="1207">
        <f t="shared" si="11"/>
        <v>171427.14</v>
      </c>
      <c r="N117" s="1207"/>
      <c r="O117" s="1207">
        <v>4427258.46</v>
      </c>
      <c r="P117" s="2148"/>
      <c r="Q117" s="2898"/>
    </row>
    <row r="118" spans="2:17" s="2885" customFormat="1" ht="15.5">
      <c r="B118" s="2893">
        <v>21067</v>
      </c>
      <c r="C118" s="2907"/>
      <c r="D118" s="2908" t="s">
        <v>596</v>
      </c>
      <c r="E118" s="2909"/>
      <c r="F118" s="2909"/>
      <c r="G118" s="1207">
        <v>0</v>
      </c>
      <c r="H118" s="1207"/>
      <c r="I118" s="1207">
        <v>0</v>
      </c>
      <c r="J118" s="1207"/>
      <c r="K118" s="1207">
        <v>0</v>
      </c>
      <c r="L118" s="1207"/>
      <c r="M118" s="1207">
        <f t="shared" si="11"/>
        <v>0</v>
      </c>
      <c r="N118" s="1207"/>
      <c r="O118" s="1207">
        <v>0</v>
      </c>
      <c r="P118" s="2148"/>
      <c r="Q118" s="2898"/>
    </row>
    <row r="119" spans="2:17" s="2885" customFormat="1" ht="15.5">
      <c r="B119" s="2893">
        <v>21077</v>
      </c>
      <c r="C119" s="2907"/>
      <c r="D119" s="2927" t="s">
        <v>597</v>
      </c>
      <c r="E119" s="2909"/>
      <c r="F119" s="2909"/>
      <c r="G119" s="1207">
        <v>0</v>
      </c>
      <c r="H119" s="1207"/>
      <c r="I119" s="1207">
        <v>0</v>
      </c>
      <c r="J119" s="1207"/>
      <c r="K119" s="1207">
        <v>0</v>
      </c>
      <c r="L119" s="1207"/>
      <c r="M119" s="1207">
        <f t="shared" si="11"/>
        <v>0</v>
      </c>
      <c r="N119" s="1207"/>
      <c r="O119" s="1207">
        <v>0</v>
      </c>
      <c r="P119" s="2148"/>
      <c r="Q119" s="2898"/>
    </row>
    <row r="120" spans="2:17" s="2885" customFormat="1" ht="15.5">
      <c r="B120" s="2893">
        <v>21081</v>
      </c>
      <c r="C120" s="2907"/>
      <c r="D120" s="2908" t="s">
        <v>598</v>
      </c>
      <c r="E120" s="2909"/>
      <c r="F120" s="2909"/>
      <c r="G120" s="1207">
        <v>60683220.740000002</v>
      </c>
      <c r="H120" s="1207"/>
      <c r="I120" s="1207">
        <v>61490250.32</v>
      </c>
      <c r="J120" s="1207"/>
      <c r="K120" s="1207">
        <v>61475682.729999997</v>
      </c>
      <c r="L120" s="1207"/>
      <c r="M120" s="1207">
        <f t="shared" si="11"/>
        <v>1137407.69</v>
      </c>
      <c r="N120" s="1207"/>
      <c r="O120" s="1207">
        <v>62613090.420000002</v>
      </c>
      <c r="P120" s="2148"/>
      <c r="Q120" s="2898"/>
    </row>
    <row r="121" spans="2:17" s="2885" customFormat="1" ht="15.5">
      <c r="B121" s="2893">
        <v>21082</v>
      </c>
      <c r="C121" s="2907"/>
      <c r="D121" s="2927" t="s">
        <v>599</v>
      </c>
      <c r="E121" s="2909"/>
      <c r="F121" s="2909"/>
      <c r="G121" s="1207">
        <v>14482012.460000001</v>
      </c>
      <c r="H121" s="1207"/>
      <c r="I121" s="1207">
        <v>14822988.779999999</v>
      </c>
      <c r="J121" s="1207"/>
      <c r="K121" s="1207">
        <v>15270489.029999999</v>
      </c>
      <c r="L121" s="1207"/>
      <c r="M121" s="1207">
        <f t="shared" si="11"/>
        <v>307939.11</v>
      </c>
      <c r="N121" s="1207"/>
      <c r="O121" s="1207">
        <v>15578428.140000001</v>
      </c>
      <c r="P121" s="2148"/>
      <c r="Q121" s="2898"/>
    </row>
    <row r="122" spans="2:17" s="2885" customFormat="1" ht="15.5">
      <c r="B122" s="2893">
        <v>21084</v>
      </c>
      <c r="C122" s="2907"/>
      <c r="D122" s="2927" t="s">
        <v>600</v>
      </c>
      <c r="E122" s="2909"/>
      <c r="F122" s="2909"/>
      <c r="G122" s="1207">
        <v>0</v>
      </c>
      <c r="H122" s="1207"/>
      <c r="I122" s="1207">
        <v>0</v>
      </c>
      <c r="J122" s="1207"/>
      <c r="K122" s="1207">
        <v>0</v>
      </c>
      <c r="L122" s="1207"/>
      <c r="M122" s="1207">
        <f t="shared" si="11"/>
        <v>0</v>
      </c>
      <c r="N122" s="1207"/>
      <c r="O122" s="1207">
        <v>0</v>
      </c>
      <c r="P122" s="2148"/>
      <c r="Q122" s="2898"/>
    </row>
    <row r="123" spans="2:17" s="2885" customFormat="1" ht="15.5">
      <c r="B123" s="2893">
        <v>21087</v>
      </c>
      <c r="C123" s="2907"/>
      <c r="D123" s="2927" t="s">
        <v>601</v>
      </c>
      <c r="E123" s="2909"/>
      <c r="F123" s="2909"/>
      <c r="G123" s="1207">
        <v>0</v>
      </c>
      <c r="H123" s="1207"/>
      <c r="I123" s="1207">
        <v>0</v>
      </c>
      <c r="J123" s="1207"/>
      <c r="K123" s="1207">
        <v>0</v>
      </c>
      <c r="L123" s="1207"/>
      <c r="M123" s="1207">
        <f t="shared" si="11"/>
        <v>0</v>
      </c>
      <c r="N123" s="1207"/>
      <c r="O123" s="1207">
        <v>0</v>
      </c>
      <c r="P123" s="2148"/>
      <c r="Q123" s="2898"/>
    </row>
    <row r="124" spans="2:17" s="2885" customFormat="1" ht="15.5">
      <c r="B124" s="2893">
        <v>21201</v>
      </c>
      <c r="C124" s="2907"/>
      <c r="D124" s="2927" t="s">
        <v>602</v>
      </c>
      <c r="E124" s="2909"/>
      <c r="F124" s="2909"/>
      <c r="G124" s="1207">
        <v>25.4</v>
      </c>
      <c r="H124" s="1207"/>
      <c r="I124" s="1207">
        <v>349</v>
      </c>
      <c r="J124" s="1207"/>
      <c r="K124" s="1207">
        <v>0</v>
      </c>
      <c r="L124" s="1207"/>
      <c r="M124" s="1207">
        <f t="shared" si="11"/>
        <v>380</v>
      </c>
      <c r="N124" s="1207"/>
      <c r="O124" s="1207">
        <v>380</v>
      </c>
      <c r="P124" s="2148"/>
      <c r="Q124" s="2898"/>
    </row>
    <row r="125" spans="2:17" s="2885" customFormat="1" ht="15.5">
      <c r="B125" s="2893">
        <v>21202</v>
      </c>
      <c r="C125" s="2907"/>
      <c r="D125" s="2927" t="s">
        <v>603</v>
      </c>
      <c r="E125" s="2909"/>
      <c r="F125" s="2909"/>
      <c r="G125" s="1207">
        <v>0</v>
      </c>
      <c r="H125" s="1207"/>
      <c r="I125" s="1207">
        <v>0</v>
      </c>
      <c r="J125" s="1207"/>
      <c r="K125" s="1207">
        <v>0</v>
      </c>
      <c r="L125" s="1207"/>
      <c r="M125" s="1207">
        <f t="shared" si="11"/>
        <v>0</v>
      </c>
      <c r="N125" s="1207"/>
      <c r="O125" s="1207">
        <v>0</v>
      </c>
      <c r="P125" s="2148"/>
      <c r="Q125" s="2898"/>
    </row>
    <row r="126" spans="2:17" s="2885" customFormat="1" ht="15.5">
      <c r="B126" s="2893">
        <v>21203</v>
      </c>
      <c r="C126" s="2907"/>
      <c r="D126" s="2927" t="s">
        <v>604</v>
      </c>
      <c r="E126" s="2909"/>
      <c r="F126" s="2909"/>
      <c r="G126" s="1207">
        <v>87291.88</v>
      </c>
      <c r="H126" s="1207"/>
      <c r="I126" s="1207">
        <v>4004.81</v>
      </c>
      <c r="J126" s="1207"/>
      <c r="K126" s="1207">
        <v>0</v>
      </c>
      <c r="L126" s="1207"/>
      <c r="M126" s="1207">
        <f t="shared" si="11"/>
        <v>0</v>
      </c>
      <c r="N126" s="1207"/>
      <c r="O126" s="1207">
        <v>0</v>
      </c>
      <c r="P126" s="2148"/>
      <c r="Q126" s="2898"/>
    </row>
    <row r="127" spans="2:17" s="2885" customFormat="1" ht="15.5">
      <c r="B127" s="2893">
        <v>21204</v>
      </c>
      <c r="C127" s="2907"/>
      <c r="D127" s="2927" t="s">
        <v>1509</v>
      </c>
      <c r="E127" s="2909"/>
      <c r="F127" s="2909"/>
      <c r="G127" s="1207">
        <v>0</v>
      </c>
      <c r="H127" s="1207"/>
      <c r="I127" s="1207">
        <v>0</v>
      </c>
      <c r="J127" s="1207"/>
      <c r="K127" s="1207">
        <v>0</v>
      </c>
      <c r="L127" s="1207"/>
      <c r="M127" s="1207">
        <f t="shared" ref="M127:M128" si="13">ROUND(SUM(O127)-SUM(K127),2)</f>
        <v>0</v>
      </c>
      <c r="N127" s="1207"/>
      <c r="O127" s="1207">
        <v>0</v>
      </c>
      <c r="P127" s="2148"/>
      <c r="Q127" s="2898"/>
    </row>
    <row r="128" spans="2:17" s="2885" customFormat="1" ht="15.5">
      <c r="B128" s="2893">
        <v>21205</v>
      </c>
      <c r="C128" s="2907"/>
      <c r="D128" s="2927" t="s">
        <v>1510</v>
      </c>
      <c r="E128" s="2909"/>
      <c r="F128" s="2909"/>
      <c r="G128" s="1207">
        <v>0</v>
      </c>
      <c r="H128" s="1207"/>
      <c r="I128" s="1207">
        <v>0</v>
      </c>
      <c r="J128" s="1207"/>
      <c r="K128" s="1207">
        <v>0</v>
      </c>
      <c r="L128" s="1207"/>
      <c r="M128" s="1207">
        <f t="shared" si="13"/>
        <v>0</v>
      </c>
      <c r="N128" s="1207"/>
      <c r="O128" s="1207">
        <v>0</v>
      </c>
      <c r="P128" s="2148"/>
      <c r="Q128" s="2898"/>
    </row>
    <row r="129" spans="2:17" s="2885" customFormat="1" ht="15.5">
      <c r="B129" s="2910">
        <v>21401</v>
      </c>
      <c r="C129" s="2928"/>
      <c r="D129" s="2930" t="s">
        <v>605</v>
      </c>
      <c r="E129" s="2913"/>
      <c r="F129" s="2913"/>
      <c r="G129" s="1207">
        <v>0</v>
      </c>
      <c r="H129" s="1207"/>
      <c r="I129" s="1207">
        <v>0</v>
      </c>
      <c r="J129" s="1207"/>
      <c r="K129" s="1207">
        <v>0</v>
      </c>
      <c r="L129" s="1207"/>
      <c r="M129" s="1207">
        <f t="shared" si="11"/>
        <v>0</v>
      </c>
      <c r="N129" s="1207"/>
      <c r="O129" s="1207">
        <v>0</v>
      </c>
      <c r="P129" s="2148"/>
      <c r="Q129" s="2898"/>
    </row>
    <row r="130" spans="2:17" s="2885" customFormat="1" ht="15.5">
      <c r="B130" s="2910">
        <v>21402</v>
      </c>
      <c r="C130" s="2928"/>
      <c r="D130" s="2930" t="s">
        <v>606</v>
      </c>
      <c r="E130" s="2913"/>
      <c r="F130" s="2913"/>
      <c r="G130" s="1207">
        <v>0</v>
      </c>
      <c r="H130" s="1207"/>
      <c r="I130" s="1207">
        <v>0</v>
      </c>
      <c r="J130" s="1207"/>
      <c r="K130" s="1207">
        <v>0</v>
      </c>
      <c r="L130" s="1207"/>
      <c r="M130" s="1207">
        <f t="shared" si="11"/>
        <v>0</v>
      </c>
      <c r="N130" s="1207"/>
      <c r="O130" s="1207">
        <v>0</v>
      </c>
      <c r="P130" s="2148"/>
      <c r="Q130" s="2898"/>
    </row>
    <row r="131" spans="2:17" s="2885" customFormat="1" ht="15.5">
      <c r="B131" s="2893">
        <v>21451</v>
      </c>
      <c r="C131" s="2907"/>
      <c r="D131" s="2908" t="s">
        <v>607</v>
      </c>
      <c r="E131" s="2909"/>
      <c r="F131" s="2909"/>
      <c r="G131" s="1207">
        <v>33386296.84</v>
      </c>
      <c r="H131" s="1207"/>
      <c r="I131" s="1207">
        <v>33816328.57</v>
      </c>
      <c r="J131" s="1207"/>
      <c r="K131" s="1207">
        <v>34391499.530000001</v>
      </c>
      <c r="L131" s="1207"/>
      <c r="M131" s="1207">
        <f t="shared" si="11"/>
        <v>498222.3</v>
      </c>
      <c r="N131" s="1207"/>
      <c r="O131" s="1207">
        <v>34889721.829999998</v>
      </c>
      <c r="P131" s="2148"/>
      <c r="Q131" s="2898"/>
    </row>
    <row r="132" spans="2:17" s="2885" customFormat="1" ht="15.5">
      <c r="B132" s="2893">
        <v>21452</v>
      </c>
      <c r="C132" s="2907"/>
      <c r="D132" s="2927" t="s">
        <v>608</v>
      </c>
      <c r="E132" s="2909"/>
      <c r="F132" s="2909"/>
      <c r="G132" s="1207">
        <v>0</v>
      </c>
      <c r="H132" s="1207"/>
      <c r="I132" s="1207">
        <v>0</v>
      </c>
      <c r="J132" s="1207"/>
      <c r="K132" s="1207">
        <v>0</v>
      </c>
      <c r="L132" s="1207"/>
      <c r="M132" s="1207">
        <f t="shared" si="11"/>
        <v>0</v>
      </c>
      <c r="N132" s="1207"/>
      <c r="O132" s="1207">
        <v>0</v>
      </c>
      <c r="P132" s="2148"/>
      <c r="Q132" s="2898"/>
    </row>
    <row r="133" spans="2:17" s="2885" customFormat="1" ht="15.5">
      <c r="B133" s="2893">
        <v>21902</v>
      </c>
      <c r="C133" s="2907"/>
      <c r="D133" s="2908" t="s">
        <v>1160</v>
      </c>
      <c r="E133" s="2909"/>
      <c r="F133" s="2909"/>
      <c r="G133" s="1207">
        <v>0</v>
      </c>
      <c r="H133" s="1207"/>
      <c r="I133" s="1207">
        <v>0</v>
      </c>
      <c r="J133" s="1207"/>
      <c r="K133" s="1207">
        <v>0</v>
      </c>
      <c r="L133" s="1207"/>
      <c r="M133" s="1207">
        <f t="shared" si="11"/>
        <v>0</v>
      </c>
      <c r="N133" s="1207"/>
      <c r="O133" s="1207">
        <v>0</v>
      </c>
      <c r="P133" s="2148"/>
      <c r="Q133" s="2898"/>
    </row>
    <row r="134" spans="2:17" s="2885" customFormat="1" ht="15.5">
      <c r="B134" s="2893">
        <v>21905</v>
      </c>
      <c r="C134" s="2907"/>
      <c r="D134" s="3090" t="s">
        <v>1163</v>
      </c>
      <c r="E134" s="2909"/>
      <c r="F134" s="2909"/>
      <c r="G134" s="1207">
        <v>7049060.1100000096</v>
      </c>
      <c r="H134" s="1207"/>
      <c r="I134" s="1207">
        <v>5153373.25</v>
      </c>
      <c r="J134" s="1207"/>
      <c r="K134" s="1207">
        <v>6070043.8099999903</v>
      </c>
      <c r="L134" s="1207"/>
      <c r="M134" s="1207">
        <f t="shared" si="11"/>
        <v>-58744.73</v>
      </c>
      <c r="N134" s="1207"/>
      <c r="O134" s="1207">
        <v>6011299.0799999898</v>
      </c>
      <c r="P134" s="2148"/>
      <c r="Q134" s="2898"/>
    </row>
    <row r="135" spans="2:17" s="2885" customFormat="1" ht="15.5">
      <c r="B135" s="2893">
        <v>21907</v>
      </c>
      <c r="C135" s="2907"/>
      <c r="D135" s="2927" t="s">
        <v>609</v>
      </c>
      <c r="E135" s="2909"/>
      <c r="F135" s="2909"/>
      <c r="G135" s="1207">
        <v>0</v>
      </c>
      <c r="H135" s="1207"/>
      <c r="I135" s="1207">
        <v>0</v>
      </c>
      <c r="J135" s="1207"/>
      <c r="K135" s="1207">
        <v>0</v>
      </c>
      <c r="L135" s="1207"/>
      <c r="M135" s="1207">
        <f t="shared" si="11"/>
        <v>0</v>
      </c>
      <c r="N135" s="1207"/>
      <c r="O135" s="1207">
        <v>0</v>
      </c>
      <c r="P135" s="2148"/>
      <c r="Q135" s="2898"/>
    </row>
    <row r="136" spans="2:17" s="2885" customFormat="1" ht="15.5">
      <c r="B136" s="2893">
        <v>21909</v>
      </c>
      <c r="C136" s="2907"/>
      <c r="D136" s="2927" t="s">
        <v>610</v>
      </c>
      <c r="E136" s="2909"/>
      <c r="F136" s="2909"/>
      <c r="G136" s="1207">
        <v>0</v>
      </c>
      <c r="H136" s="1207"/>
      <c r="I136" s="1207">
        <v>0</v>
      </c>
      <c r="J136" s="1207"/>
      <c r="K136" s="1207">
        <v>0</v>
      </c>
      <c r="L136" s="1207"/>
      <c r="M136" s="1207">
        <f t="shared" si="11"/>
        <v>0</v>
      </c>
      <c r="N136" s="1207"/>
      <c r="O136" s="1207">
        <v>0</v>
      </c>
      <c r="P136" s="2148"/>
      <c r="Q136" s="2898"/>
    </row>
    <row r="137" spans="2:17" s="2885" customFormat="1" ht="15.5">
      <c r="B137" s="2893">
        <v>21911</v>
      </c>
      <c r="C137" s="2907"/>
      <c r="D137" s="2927" t="s">
        <v>611</v>
      </c>
      <c r="E137" s="2909"/>
      <c r="F137" s="2909"/>
      <c r="G137" s="1207">
        <v>200986.13</v>
      </c>
      <c r="H137" s="1207"/>
      <c r="I137" s="1207">
        <v>385557.07</v>
      </c>
      <c r="J137" s="1207"/>
      <c r="K137" s="1207">
        <v>664380.92000000004</v>
      </c>
      <c r="L137" s="1207"/>
      <c r="M137" s="1207">
        <f t="shared" si="11"/>
        <v>-504181.02</v>
      </c>
      <c r="N137" s="1207"/>
      <c r="O137" s="1207">
        <v>160199.9</v>
      </c>
      <c r="P137" s="2148"/>
      <c r="Q137" s="2898"/>
    </row>
    <row r="138" spans="2:17" s="2885" customFormat="1" ht="15.5">
      <c r="B138" s="2893">
        <v>21912</v>
      </c>
      <c r="C138" s="2907"/>
      <c r="D138" s="2908" t="s">
        <v>612</v>
      </c>
      <c r="E138" s="2909"/>
      <c r="F138" s="2909"/>
      <c r="G138" s="1207">
        <v>3312997.34</v>
      </c>
      <c r="H138" s="1207"/>
      <c r="I138" s="1207">
        <v>4016974.07</v>
      </c>
      <c r="J138" s="1207"/>
      <c r="K138" s="1207">
        <v>4317928.13</v>
      </c>
      <c r="L138" s="1207"/>
      <c r="M138" s="1207">
        <f t="shared" si="11"/>
        <v>16937.61</v>
      </c>
      <c r="N138" s="1207"/>
      <c r="O138" s="1207">
        <v>4334865.74</v>
      </c>
      <c r="P138" s="2148"/>
      <c r="Q138" s="2898"/>
    </row>
    <row r="139" spans="2:17" s="2885" customFormat="1" ht="15.5">
      <c r="B139" s="2893">
        <v>21937</v>
      </c>
      <c r="C139" s="2907"/>
      <c r="D139" s="2927" t="s">
        <v>613</v>
      </c>
      <c r="E139" s="2909"/>
      <c r="F139" s="2909"/>
      <c r="G139" s="1207">
        <v>375947.73</v>
      </c>
      <c r="H139" s="1207"/>
      <c r="I139" s="1207">
        <v>140504.21</v>
      </c>
      <c r="J139" s="1207"/>
      <c r="K139" s="1207">
        <v>1.16415321826935E-10</v>
      </c>
      <c r="L139" s="1207"/>
      <c r="M139" s="1207">
        <f t="shared" si="11"/>
        <v>325193.12</v>
      </c>
      <c r="N139" s="1207"/>
      <c r="O139" s="1207">
        <v>325193.12</v>
      </c>
      <c r="P139" s="2148"/>
      <c r="Q139" s="2898"/>
    </row>
    <row r="140" spans="2:17" s="2885" customFormat="1" ht="15.5">
      <c r="B140" s="2893">
        <v>21945</v>
      </c>
      <c r="C140" s="2907"/>
      <c r="D140" s="2908" t="s">
        <v>614</v>
      </c>
      <c r="E140" s="2909"/>
      <c r="F140" s="2909"/>
      <c r="G140" s="1207">
        <v>0</v>
      </c>
      <c r="H140" s="1207"/>
      <c r="I140" s="1207">
        <v>0</v>
      </c>
      <c r="J140" s="1207"/>
      <c r="K140" s="1207">
        <v>0</v>
      </c>
      <c r="L140" s="1207"/>
      <c r="M140" s="1207">
        <f t="shared" si="11"/>
        <v>0</v>
      </c>
      <c r="N140" s="1207"/>
      <c r="O140" s="1207">
        <v>0</v>
      </c>
      <c r="P140" s="2148"/>
      <c r="Q140" s="2898"/>
    </row>
    <row r="141" spans="2:17" s="2885" customFormat="1" ht="15.5">
      <c r="B141" s="2893">
        <v>21959</v>
      </c>
      <c r="C141" s="2907"/>
      <c r="D141" s="2927" t="s">
        <v>615</v>
      </c>
      <c r="E141" s="2909"/>
      <c r="F141" s="2909"/>
      <c r="G141" s="1207">
        <v>0</v>
      </c>
      <c r="H141" s="1207"/>
      <c r="I141" s="1207">
        <v>0</v>
      </c>
      <c r="J141" s="1207"/>
      <c r="K141" s="1207">
        <v>0</v>
      </c>
      <c r="L141" s="1207"/>
      <c r="M141" s="1207">
        <f t="shared" si="11"/>
        <v>0</v>
      </c>
      <c r="N141" s="1207"/>
      <c r="O141" s="1207">
        <v>0</v>
      </c>
      <c r="P141" s="2148"/>
      <c r="Q141" s="2898"/>
    </row>
    <row r="142" spans="2:17" s="3079" customFormat="1" ht="15.5">
      <c r="B142" s="2910">
        <v>21961</v>
      </c>
      <c r="C142" s="2928"/>
      <c r="D142" s="2929" t="s">
        <v>1274</v>
      </c>
      <c r="E142" s="2913"/>
      <c r="F142" s="2913"/>
      <c r="G142" s="1207">
        <v>548128.76</v>
      </c>
      <c r="H142" s="1207"/>
      <c r="I142" s="1207">
        <v>521748.19</v>
      </c>
      <c r="J142" s="1207"/>
      <c r="K142" s="1207">
        <v>469022.32</v>
      </c>
      <c r="L142" s="1207"/>
      <c r="M142" s="1207">
        <f t="shared" si="11"/>
        <v>75328.179999999993</v>
      </c>
      <c r="N142" s="1207"/>
      <c r="O142" s="1207">
        <v>544350.5</v>
      </c>
      <c r="P142" s="2148"/>
      <c r="Q142" s="3078"/>
    </row>
    <row r="143" spans="2:17" s="2885" customFormat="1" ht="15.5">
      <c r="B143" s="2893">
        <v>21962</v>
      </c>
      <c r="C143" s="2907"/>
      <c r="D143" s="2927" t="s">
        <v>616</v>
      </c>
      <c r="E143" s="2909"/>
      <c r="F143" s="2909"/>
      <c r="G143" s="1207">
        <v>9293724.1400000006</v>
      </c>
      <c r="H143" s="1207"/>
      <c r="I143" s="1207">
        <v>9718277.8900000006</v>
      </c>
      <c r="J143" s="1207"/>
      <c r="K143" s="1207">
        <v>9017407.8800000008</v>
      </c>
      <c r="L143" s="1207"/>
      <c r="M143" s="1207">
        <f t="shared" si="11"/>
        <v>247206.35</v>
      </c>
      <c r="N143" s="1207"/>
      <c r="O143" s="1207">
        <v>9264614.2300000004</v>
      </c>
      <c r="P143" s="2148"/>
      <c r="Q143" s="2898"/>
    </row>
    <row r="144" spans="2:17" s="2885" customFormat="1" ht="15.5">
      <c r="B144" s="2893">
        <v>21978</v>
      </c>
      <c r="C144" s="2907"/>
      <c r="D144" s="2908" t="s">
        <v>617</v>
      </c>
      <c r="E144" s="2909"/>
      <c r="F144" s="2909"/>
      <c r="G144" s="1207">
        <v>0</v>
      </c>
      <c r="H144" s="1207"/>
      <c r="I144" s="1207">
        <v>0</v>
      </c>
      <c r="J144" s="1207"/>
      <c r="K144" s="1207">
        <v>0</v>
      </c>
      <c r="L144" s="1207"/>
      <c r="M144" s="1207">
        <f t="shared" si="11"/>
        <v>0</v>
      </c>
      <c r="N144" s="1207"/>
      <c r="O144" s="1207">
        <v>0</v>
      </c>
      <c r="P144" s="2148"/>
      <c r="Q144" s="2898"/>
    </row>
    <row r="145" spans="2:17" s="2885" customFormat="1" ht="15.5">
      <c r="B145" s="2893">
        <v>21979</v>
      </c>
      <c r="C145" s="2907"/>
      <c r="D145" s="2908" t="s">
        <v>1511</v>
      </c>
      <c r="E145" s="2909"/>
      <c r="F145" s="2909"/>
      <c r="G145" s="1207">
        <v>0</v>
      </c>
      <c r="H145" s="1207"/>
      <c r="I145" s="1207">
        <v>0</v>
      </c>
      <c r="J145" s="1207"/>
      <c r="K145" s="1207">
        <v>0</v>
      </c>
      <c r="L145" s="1207"/>
      <c r="M145" s="1207">
        <f t="shared" ref="M145" si="14">ROUND(SUM(O145)-SUM(K145),2)</f>
        <v>0</v>
      </c>
      <c r="N145" s="1207"/>
      <c r="O145" s="1207">
        <v>0</v>
      </c>
      <c r="P145" s="2148" t="s">
        <v>1522</v>
      </c>
      <c r="Q145" s="2898" t="s">
        <v>14</v>
      </c>
    </row>
    <row r="146" spans="2:17" s="2885" customFormat="1" ht="15.5">
      <c r="B146" s="2893">
        <v>21989</v>
      </c>
      <c r="C146" s="2907"/>
      <c r="D146" s="2908" t="s">
        <v>618</v>
      </c>
      <c r="E146" s="2909"/>
      <c r="F146" s="2909"/>
      <c r="G146" s="1207">
        <v>0</v>
      </c>
      <c r="H146" s="1207"/>
      <c r="I146" s="1207">
        <v>0</v>
      </c>
      <c r="J146" s="1207"/>
      <c r="K146" s="1207">
        <v>0</v>
      </c>
      <c r="L146" s="1207"/>
      <c r="M146" s="1207">
        <f t="shared" si="11"/>
        <v>0</v>
      </c>
      <c r="N146" s="1207"/>
      <c r="O146" s="1207">
        <v>0</v>
      </c>
      <c r="P146" s="2148"/>
      <c r="Q146" s="2898"/>
    </row>
    <row r="147" spans="2:17" s="2885" customFormat="1" ht="15.5">
      <c r="B147" s="2893">
        <v>22003</v>
      </c>
      <c r="C147" s="2907"/>
      <c r="D147" s="2908" t="s">
        <v>619</v>
      </c>
      <c r="E147" s="2909"/>
      <c r="F147" s="2909"/>
      <c r="G147" s="1207">
        <v>0</v>
      </c>
      <c r="H147" s="1207"/>
      <c r="I147" s="1207">
        <v>0</v>
      </c>
      <c r="J147" s="1207"/>
      <c r="K147" s="1207">
        <v>0</v>
      </c>
      <c r="L147" s="1207"/>
      <c r="M147" s="1207">
        <f t="shared" si="11"/>
        <v>0</v>
      </c>
      <c r="N147" s="1207"/>
      <c r="O147" s="1207">
        <v>0</v>
      </c>
      <c r="P147" s="2148"/>
      <c r="Q147" s="2898"/>
    </row>
    <row r="148" spans="2:17" s="2885" customFormat="1" ht="15.5">
      <c r="B148" s="2893">
        <v>22004</v>
      </c>
      <c r="C148" s="2907"/>
      <c r="D148" s="2927" t="s">
        <v>620</v>
      </c>
      <c r="E148" s="2909"/>
      <c r="F148" s="2909"/>
      <c r="G148" s="1207">
        <v>0</v>
      </c>
      <c r="H148" s="1207"/>
      <c r="I148" s="1207">
        <v>0</v>
      </c>
      <c r="J148" s="1207"/>
      <c r="K148" s="1207">
        <v>0</v>
      </c>
      <c r="L148" s="1207"/>
      <c r="M148" s="1207">
        <f t="shared" si="11"/>
        <v>0</v>
      </c>
      <c r="N148" s="1207"/>
      <c r="O148" s="1207">
        <v>0</v>
      </c>
      <c r="P148" s="2148"/>
      <c r="Q148" s="2898"/>
    </row>
    <row r="149" spans="2:17" s="2885" customFormat="1" ht="15.5">
      <c r="B149" s="2893">
        <v>22006</v>
      </c>
      <c r="C149" s="2907"/>
      <c r="D149" s="2908" t="s">
        <v>621</v>
      </c>
      <c r="E149" s="2909"/>
      <c r="F149" s="2909"/>
      <c r="G149" s="1207">
        <v>0</v>
      </c>
      <c r="H149" s="1207"/>
      <c r="I149" s="1207">
        <v>0</v>
      </c>
      <c r="J149" s="1207"/>
      <c r="K149" s="1207">
        <v>0</v>
      </c>
      <c r="L149" s="1207"/>
      <c r="M149" s="1207">
        <f t="shared" si="11"/>
        <v>0</v>
      </c>
      <c r="N149" s="1207"/>
      <c r="O149" s="1207">
        <v>0</v>
      </c>
      <c r="P149" s="2148"/>
      <c r="Q149" s="2898"/>
    </row>
    <row r="150" spans="2:17" s="2885" customFormat="1" ht="15.5">
      <c r="B150" s="2893">
        <v>22007</v>
      </c>
      <c r="C150" s="2907"/>
      <c r="D150" s="2927" t="s">
        <v>622</v>
      </c>
      <c r="E150" s="2909"/>
      <c r="F150" s="2909"/>
      <c r="G150" s="1207">
        <v>0</v>
      </c>
      <c r="H150" s="1207"/>
      <c r="I150" s="1207">
        <v>0</v>
      </c>
      <c r="J150" s="1207"/>
      <c r="K150" s="1207">
        <v>728613.54</v>
      </c>
      <c r="L150" s="1207"/>
      <c r="M150" s="1207">
        <f t="shared" si="11"/>
        <v>-34673.42</v>
      </c>
      <c r="N150" s="1207"/>
      <c r="O150" s="1207">
        <v>693940.12</v>
      </c>
      <c r="P150" s="2148"/>
      <c r="Q150" s="2898"/>
    </row>
    <row r="151" spans="2:17" s="2885" customFormat="1" ht="15.5">
      <c r="B151" s="2893">
        <v>22008</v>
      </c>
      <c r="C151" s="2907"/>
      <c r="D151" s="2927" t="s">
        <v>1219</v>
      </c>
      <c r="E151" s="2909"/>
      <c r="F151" s="2909"/>
      <c r="G151" s="1207">
        <v>0</v>
      </c>
      <c r="H151" s="1207"/>
      <c r="I151" s="1207">
        <v>0</v>
      </c>
      <c r="J151" s="1207"/>
      <c r="K151" s="1207">
        <v>0</v>
      </c>
      <c r="L151" s="1207"/>
      <c r="M151" s="1207">
        <f t="shared" ref="M151" si="15">ROUND(SUM(O151)-SUM(K151),2)</f>
        <v>0</v>
      </c>
      <c r="N151" s="1207"/>
      <c r="O151" s="1207">
        <v>0</v>
      </c>
      <c r="P151" s="2148"/>
      <c r="Q151" s="2898"/>
    </row>
    <row r="152" spans="2:17" s="2885" customFormat="1" ht="15.5">
      <c r="B152" s="2893">
        <v>22009</v>
      </c>
      <c r="C152" s="2907"/>
      <c r="D152" s="2927" t="s">
        <v>623</v>
      </c>
      <c r="E152" s="2909"/>
      <c r="F152" s="2909"/>
      <c r="G152" s="1207">
        <v>32074.58</v>
      </c>
      <c r="H152" s="1207"/>
      <c r="I152" s="1207">
        <v>25497.18</v>
      </c>
      <c r="J152" s="1207"/>
      <c r="K152" s="1207">
        <v>21922.83</v>
      </c>
      <c r="L152" s="1207"/>
      <c r="M152" s="1207">
        <f t="shared" si="11"/>
        <v>-247.77</v>
      </c>
      <c r="N152" s="1207"/>
      <c r="O152" s="1207">
        <v>21675.06</v>
      </c>
      <c r="P152" s="2148"/>
      <c r="Q152" s="2898"/>
    </row>
    <row r="153" spans="2:17" s="3079" customFormat="1" ht="15.5">
      <c r="B153" s="2910">
        <v>22017</v>
      </c>
      <c r="C153" s="2928"/>
      <c r="D153" s="2929" t="s">
        <v>1275</v>
      </c>
      <c r="E153" s="2913"/>
      <c r="F153" s="2913"/>
      <c r="G153" s="1207">
        <v>0</v>
      </c>
      <c r="H153" s="1207"/>
      <c r="I153" s="1207">
        <v>0</v>
      </c>
      <c r="J153" s="1207"/>
      <c r="K153" s="1207">
        <v>0</v>
      </c>
      <c r="L153" s="1207"/>
      <c r="M153" s="1207">
        <f t="shared" si="11"/>
        <v>0</v>
      </c>
      <c r="N153" s="1207"/>
      <c r="O153" s="1207">
        <v>0</v>
      </c>
      <c r="P153" s="2148"/>
      <c r="Q153" s="3078"/>
    </row>
    <row r="154" spans="2:17" s="2885" customFormat="1" ht="15.5">
      <c r="B154" s="2893">
        <v>22032</v>
      </c>
      <c r="C154" s="2907"/>
      <c r="D154" s="2927" t="s">
        <v>624</v>
      </c>
      <c r="E154" s="2909"/>
      <c r="F154" s="2909"/>
      <c r="G154" s="1207">
        <v>11320507.810000001</v>
      </c>
      <c r="H154" s="1207"/>
      <c r="I154" s="1207">
        <v>12681293.470000001</v>
      </c>
      <c r="J154" s="1207"/>
      <c r="K154" s="1207">
        <v>6403690.71</v>
      </c>
      <c r="L154" s="1207"/>
      <c r="M154" s="1207">
        <f t="shared" si="11"/>
        <v>544500.37</v>
      </c>
      <c r="N154" s="1207"/>
      <c r="O154" s="1207">
        <v>6948191.0800000001</v>
      </c>
      <c r="P154" s="2148"/>
      <c r="Q154" s="2898"/>
    </row>
    <row r="155" spans="2:17" s="2885" customFormat="1" ht="15.5">
      <c r="B155" s="2893">
        <v>22034</v>
      </c>
      <c r="C155" s="2907"/>
      <c r="D155" s="2927" t="s">
        <v>625</v>
      </c>
      <c r="E155" s="2909"/>
      <c r="F155" s="2909"/>
      <c r="G155" s="1207">
        <v>0</v>
      </c>
      <c r="H155" s="1207"/>
      <c r="I155" s="1207">
        <v>0</v>
      </c>
      <c r="J155" s="1207"/>
      <c r="K155" s="1207">
        <v>0</v>
      </c>
      <c r="L155" s="1207"/>
      <c r="M155" s="1207">
        <f t="shared" si="11"/>
        <v>0</v>
      </c>
      <c r="N155" s="1207"/>
      <c r="O155" s="1207">
        <v>0</v>
      </c>
      <c r="P155" s="2148"/>
      <c r="Q155" s="2898"/>
    </row>
    <row r="156" spans="2:17" s="2885" customFormat="1" ht="15.5">
      <c r="B156" s="2893">
        <v>22036</v>
      </c>
      <c r="C156" s="2907"/>
      <c r="D156" s="2927" t="s">
        <v>626</v>
      </c>
      <c r="E156" s="2909"/>
      <c r="F156" s="2909"/>
      <c r="G156" s="1207">
        <v>0</v>
      </c>
      <c r="H156" s="1207"/>
      <c r="I156" s="1207">
        <v>0</v>
      </c>
      <c r="J156" s="1207"/>
      <c r="K156" s="1207">
        <v>0</v>
      </c>
      <c r="L156" s="1207"/>
      <c r="M156" s="1207">
        <f t="shared" si="11"/>
        <v>0</v>
      </c>
      <c r="N156" s="1207"/>
      <c r="O156" s="1207">
        <v>0</v>
      </c>
      <c r="P156" s="2148"/>
      <c r="Q156" s="2898"/>
    </row>
    <row r="157" spans="2:17" s="2885" customFormat="1" ht="15.5">
      <c r="B157" s="2893">
        <v>22039</v>
      </c>
      <c r="C157" s="2907"/>
      <c r="D157" s="2927" t="s">
        <v>627</v>
      </c>
      <c r="E157" s="2909"/>
      <c r="F157" s="2909"/>
      <c r="G157" s="1207">
        <v>275005.07</v>
      </c>
      <c r="H157" s="1207"/>
      <c r="I157" s="1207">
        <v>549858.41</v>
      </c>
      <c r="J157" s="1207"/>
      <c r="K157" s="1207">
        <v>912116.67</v>
      </c>
      <c r="L157" s="1207"/>
      <c r="M157" s="1207">
        <f t="shared" si="11"/>
        <v>-647003.13</v>
      </c>
      <c r="N157" s="1207"/>
      <c r="O157" s="1207">
        <v>265113.53999999998</v>
      </c>
      <c r="P157" s="2148"/>
      <c r="Q157" s="2898"/>
    </row>
    <row r="158" spans="2:17" s="2885" customFormat="1" ht="15.5">
      <c r="B158" s="2893">
        <v>22046</v>
      </c>
      <c r="C158" s="2907"/>
      <c r="D158" s="2927" t="s">
        <v>628</v>
      </c>
      <c r="E158" s="2909"/>
      <c r="F158" s="2909"/>
      <c r="G158" s="1207">
        <v>96973231.069999993</v>
      </c>
      <c r="H158" s="1207"/>
      <c r="I158" s="1207">
        <v>97869203.310000002</v>
      </c>
      <c r="J158" s="1207"/>
      <c r="K158" s="1207">
        <v>98016730.170000002</v>
      </c>
      <c r="L158" s="1207"/>
      <c r="M158" s="1207">
        <f t="shared" si="11"/>
        <v>1010598.68</v>
      </c>
      <c r="N158" s="1207"/>
      <c r="O158" s="1207">
        <v>99027328.849999994</v>
      </c>
      <c r="P158" s="2148"/>
      <c r="Q158" s="2898"/>
    </row>
    <row r="159" spans="2:17" s="2885" customFormat="1" ht="15.5">
      <c r="B159" s="2893">
        <v>22053</v>
      </c>
      <c r="C159" s="2907"/>
      <c r="D159" s="2927" t="s">
        <v>629</v>
      </c>
      <c r="E159" s="2909"/>
      <c r="F159" s="2909"/>
      <c r="G159" s="1207">
        <v>6114821.9699999997</v>
      </c>
      <c r="H159" s="1207"/>
      <c r="I159" s="1207">
        <v>7318915.5099999998</v>
      </c>
      <c r="J159" s="1207"/>
      <c r="K159" s="1207">
        <v>2008085.58</v>
      </c>
      <c r="L159" s="1207"/>
      <c r="M159" s="1207">
        <f t="shared" si="11"/>
        <v>544225.6</v>
      </c>
      <c r="N159" s="1207"/>
      <c r="O159" s="1207">
        <v>2552311.1800000002</v>
      </c>
      <c r="P159" s="2148"/>
      <c r="Q159" s="2898"/>
    </row>
    <row r="160" spans="2:17" s="2885" customFormat="1" ht="15.5">
      <c r="B160" s="2893">
        <v>22054</v>
      </c>
      <c r="C160" s="2907"/>
      <c r="D160" s="2927" t="s">
        <v>630</v>
      </c>
      <c r="E160" s="2909"/>
      <c r="F160" s="2909"/>
      <c r="G160" s="1207">
        <v>659132.92000000004</v>
      </c>
      <c r="H160" s="1207"/>
      <c r="I160" s="1207">
        <v>585246.75</v>
      </c>
      <c r="J160" s="1207"/>
      <c r="K160" s="1207">
        <v>456634.47</v>
      </c>
      <c r="L160" s="1207"/>
      <c r="M160" s="1207">
        <f t="shared" si="11"/>
        <v>-41474.370000000003</v>
      </c>
      <c r="N160" s="1207"/>
      <c r="O160" s="1207">
        <v>415160.1</v>
      </c>
      <c r="P160" s="2148"/>
      <c r="Q160" s="2898"/>
    </row>
    <row r="161" spans="2:17" s="2885" customFormat="1" ht="15.5">
      <c r="B161" s="2893">
        <v>22055</v>
      </c>
      <c r="C161" s="2907"/>
      <c r="D161" s="2927" t="s">
        <v>631</v>
      </c>
      <c r="E161" s="2909"/>
      <c r="F161" s="2909"/>
      <c r="G161" s="1207">
        <v>39411493.439999998</v>
      </c>
      <c r="H161" s="1207"/>
      <c r="I161" s="1207">
        <v>42649797.609999999</v>
      </c>
      <c r="J161" s="1207"/>
      <c r="K161" s="1207">
        <v>45116781.969999999</v>
      </c>
      <c r="L161" s="1207"/>
      <c r="M161" s="1207">
        <f t="shared" si="11"/>
        <v>547402.29</v>
      </c>
      <c r="N161" s="1207"/>
      <c r="O161" s="1207">
        <v>45664184.259999998</v>
      </c>
      <c r="P161" s="2148"/>
      <c r="Q161" s="2898"/>
    </row>
    <row r="162" spans="2:17" s="2885" customFormat="1" ht="15.5">
      <c r="B162" s="2893">
        <v>22056</v>
      </c>
      <c r="C162" s="2907"/>
      <c r="D162" s="2927" t="s">
        <v>632</v>
      </c>
      <c r="E162" s="2909"/>
      <c r="F162" s="2909"/>
      <c r="G162" s="1207">
        <v>1598602.46</v>
      </c>
      <c r="H162" s="1207"/>
      <c r="I162" s="1207">
        <v>1708179.3</v>
      </c>
      <c r="J162" s="1207"/>
      <c r="K162" s="1207">
        <v>33192.730000000003</v>
      </c>
      <c r="L162" s="1207"/>
      <c r="M162" s="1207">
        <f t="shared" si="11"/>
        <v>110178.71</v>
      </c>
      <c r="N162" s="1207"/>
      <c r="O162" s="1207">
        <v>143371.44</v>
      </c>
      <c r="P162" s="2148"/>
      <c r="Q162" s="2898"/>
    </row>
    <row r="163" spans="2:17" s="2885" customFormat="1" ht="15.5">
      <c r="B163" s="2893">
        <v>22062</v>
      </c>
      <c r="C163" s="2907"/>
      <c r="D163" s="2927" t="s">
        <v>633</v>
      </c>
      <c r="E163" s="2909"/>
      <c r="F163" s="2909"/>
      <c r="G163" s="1207">
        <v>0</v>
      </c>
      <c r="H163" s="1207"/>
      <c r="I163" s="1207">
        <v>0</v>
      </c>
      <c r="J163" s="1207"/>
      <c r="K163" s="1207">
        <v>0</v>
      </c>
      <c r="L163" s="1207"/>
      <c r="M163" s="1207">
        <f t="shared" si="11"/>
        <v>0</v>
      </c>
      <c r="N163" s="1207"/>
      <c r="O163" s="1207">
        <v>0</v>
      </c>
      <c r="P163" s="2148"/>
      <c r="Q163" s="2898"/>
    </row>
    <row r="164" spans="2:17" s="2885" customFormat="1" ht="15.5">
      <c r="B164" s="2893">
        <v>22063</v>
      </c>
      <c r="C164" s="2907"/>
      <c r="D164" s="2927" t="s">
        <v>634</v>
      </c>
      <c r="E164" s="2909"/>
      <c r="F164" s="2909"/>
      <c r="G164" s="1207">
        <v>3391222.79</v>
      </c>
      <c r="H164" s="1207"/>
      <c r="I164" s="1207">
        <v>3537228.58</v>
      </c>
      <c r="J164" s="1207"/>
      <c r="K164" s="1207">
        <v>2933306.11</v>
      </c>
      <c r="L164" s="1207"/>
      <c r="M164" s="1207">
        <f t="shared" si="11"/>
        <v>-913365.24</v>
      </c>
      <c r="N164" s="1207"/>
      <c r="O164" s="1207">
        <v>2019940.87</v>
      </c>
      <c r="P164" s="2148"/>
      <c r="Q164" s="2898"/>
    </row>
    <row r="165" spans="2:17" s="2885" customFormat="1" ht="15.5">
      <c r="B165" s="2893">
        <v>22078</v>
      </c>
      <c r="C165" s="2907"/>
      <c r="D165" s="2927" t="s">
        <v>635</v>
      </c>
      <c r="E165" s="2909"/>
      <c r="F165" s="2909"/>
      <c r="G165" s="1207">
        <v>0</v>
      </c>
      <c r="H165" s="1207"/>
      <c r="I165" s="1207">
        <v>0</v>
      </c>
      <c r="J165" s="1207"/>
      <c r="K165" s="1207">
        <v>0</v>
      </c>
      <c r="L165" s="1207"/>
      <c r="M165" s="1207">
        <f t="shared" si="11"/>
        <v>0</v>
      </c>
      <c r="N165" s="1207"/>
      <c r="O165" s="1207">
        <v>0</v>
      </c>
      <c r="P165" s="2148"/>
      <c r="Q165" s="2898"/>
    </row>
    <row r="166" spans="2:17" s="2885" customFormat="1" ht="15.5">
      <c r="B166" s="2893">
        <v>22085</v>
      </c>
      <c r="C166" s="2907"/>
      <c r="D166" s="2927" t="s">
        <v>636</v>
      </c>
      <c r="E166" s="2909"/>
      <c r="F166" s="2909"/>
      <c r="G166" s="1207">
        <v>2131303.19</v>
      </c>
      <c r="H166" s="1207"/>
      <c r="I166" s="1207">
        <v>2392016.13</v>
      </c>
      <c r="J166" s="1207"/>
      <c r="K166" s="1207">
        <v>2148824.54</v>
      </c>
      <c r="L166" s="1207"/>
      <c r="M166" s="1207">
        <f>ROUND(SUM(O166)-SUM(K166),2)</f>
        <v>165550.43</v>
      </c>
      <c r="N166" s="1207"/>
      <c r="O166" s="1207">
        <v>2314374.9700000002</v>
      </c>
      <c r="P166" s="2148"/>
      <c r="Q166" s="2898"/>
    </row>
    <row r="167" spans="2:17" s="2885" customFormat="1" ht="15.5">
      <c r="B167" s="2893">
        <v>22090</v>
      </c>
      <c r="C167" s="2907"/>
      <c r="D167" s="2927" t="s">
        <v>637</v>
      </c>
      <c r="E167" s="2909"/>
      <c r="F167" s="2909"/>
      <c r="G167" s="1207">
        <v>0</v>
      </c>
      <c r="H167" s="1207"/>
      <c r="I167" s="1207">
        <v>0</v>
      </c>
      <c r="J167" s="1207"/>
      <c r="K167" s="1207">
        <v>0</v>
      </c>
      <c r="L167" s="1207"/>
      <c r="M167" s="1207">
        <f t="shared" si="11"/>
        <v>0</v>
      </c>
      <c r="N167" s="1207"/>
      <c r="O167" s="1207">
        <v>0</v>
      </c>
      <c r="P167" s="2148"/>
      <c r="Q167" s="2898"/>
    </row>
    <row r="168" spans="2:17" s="2885" customFormat="1" ht="15.5">
      <c r="B168" s="2893">
        <v>22100</v>
      </c>
      <c r="C168" s="2907"/>
      <c r="D168" s="2927" t="s">
        <v>638</v>
      </c>
      <c r="E168" s="2909"/>
      <c r="F168" s="2909"/>
      <c r="G168" s="1207">
        <v>12378588.810000001</v>
      </c>
      <c r="H168" s="1207"/>
      <c r="I168" s="1207">
        <v>12218379.67</v>
      </c>
      <c r="J168" s="1207"/>
      <c r="K168" s="1207">
        <v>11348416.23</v>
      </c>
      <c r="L168" s="1207"/>
      <c r="M168" s="1207">
        <f t="shared" ref="M168:M185" si="16">ROUND(SUM(O168)-SUM(K168),2)</f>
        <v>-163981.29</v>
      </c>
      <c r="N168" s="1207"/>
      <c r="O168" s="1207">
        <v>11184434.939999999</v>
      </c>
      <c r="P168" s="2148"/>
      <c r="Q168" s="2898"/>
    </row>
    <row r="169" spans="2:17" s="2885" customFormat="1" ht="15.5">
      <c r="B169" s="2893">
        <v>22130</v>
      </c>
      <c r="C169" s="2907"/>
      <c r="D169" s="2908" t="s">
        <v>639</v>
      </c>
      <c r="E169" s="2909"/>
      <c r="F169" s="2909"/>
      <c r="G169" s="1207">
        <v>0</v>
      </c>
      <c r="H169" s="1207"/>
      <c r="I169" s="1207">
        <v>0</v>
      </c>
      <c r="J169" s="1207"/>
      <c r="K169" s="1207">
        <v>0</v>
      </c>
      <c r="L169" s="1207"/>
      <c r="M169" s="1207">
        <f t="shared" si="16"/>
        <v>0</v>
      </c>
      <c r="N169" s="1207"/>
      <c r="O169" s="1207">
        <v>0</v>
      </c>
      <c r="P169" s="2148"/>
      <c r="Q169" s="2898"/>
    </row>
    <row r="170" spans="2:17" s="2885" customFormat="1" ht="15.5">
      <c r="B170" s="2893">
        <v>22135</v>
      </c>
      <c r="C170" s="2907"/>
      <c r="D170" s="2908" t="s">
        <v>640</v>
      </c>
      <c r="E170" s="2909"/>
      <c r="F170" s="2909"/>
      <c r="G170" s="1207">
        <v>0</v>
      </c>
      <c r="H170" s="1207"/>
      <c r="I170" s="1207">
        <v>0</v>
      </c>
      <c r="J170" s="1207"/>
      <c r="K170" s="1207">
        <v>0</v>
      </c>
      <c r="L170" s="1207"/>
      <c r="M170" s="1207">
        <f t="shared" si="16"/>
        <v>0</v>
      </c>
      <c r="N170" s="1207"/>
      <c r="O170" s="1207">
        <v>0</v>
      </c>
      <c r="P170" s="2148"/>
      <c r="Q170" s="2898"/>
    </row>
    <row r="171" spans="2:17" s="2885" customFormat="1" ht="15.5">
      <c r="B171" s="2893">
        <v>22144</v>
      </c>
      <c r="C171" s="2907"/>
      <c r="D171" s="2927" t="s">
        <v>641</v>
      </c>
      <c r="E171" s="2909"/>
      <c r="F171" s="2909"/>
      <c r="G171" s="1207">
        <v>0</v>
      </c>
      <c r="H171" s="1207"/>
      <c r="I171" s="1207">
        <v>7760.1700000000101</v>
      </c>
      <c r="J171" s="1207"/>
      <c r="K171" s="1207">
        <v>0</v>
      </c>
      <c r="L171" s="1207"/>
      <c r="M171" s="1207">
        <f t="shared" si="16"/>
        <v>0</v>
      </c>
      <c r="N171" s="1207"/>
      <c r="O171" s="1207">
        <v>0</v>
      </c>
      <c r="P171" s="2148"/>
      <c r="Q171" s="2898"/>
    </row>
    <row r="172" spans="2:17" s="2885" customFormat="1" ht="15.5">
      <c r="B172" s="2893">
        <v>22151</v>
      </c>
      <c r="C172" s="2907"/>
      <c r="D172" s="2908" t="s">
        <v>642</v>
      </c>
      <c r="E172" s="2909"/>
      <c r="F172" s="2909"/>
      <c r="G172" s="1207">
        <v>171045.61</v>
      </c>
      <c r="H172" s="1207"/>
      <c r="I172" s="1207">
        <v>56058.94</v>
      </c>
      <c r="J172" s="1207"/>
      <c r="K172" s="1207">
        <v>123734.27</v>
      </c>
      <c r="L172" s="1207"/>
      <c r="M172" s="1207">
        <f t="shared" si="16"/>
        <v>52049.72</v>
      </c>
      <c r="N172" s="1207"/>
      <c r="O172" s="1207">
        <v>175783.99</v>
      </c>
      <c r="P172" s="2148"/>
      <c r="Q172" s="2898"/>
    </row>
    <row r="173" spans="2:17" s="2885" customFormat="1" ht="15.5">
      <c r="B173" s="2893">
        <v>22156</v>
      </c>
      <c r="C173" s="2907"/>
      <c r="D173" s="2908" t="s">
        <v>643</v>
      </c>
      <c r="E173" s="2909"/>
      <c r="F173" s="2909"/>
      <c r="G173" s="1207">
        <v>16295440.9</v>
      </c>
      <c r="H173" s="1207"/>
      <c r="I173" s="1207">
        <v>20611517.359999999</v>
      </c>
      <c r="J173" s="1207"/>
      <c r="K173" s="1207">
        <v>25265067.050000001</v>
      </c>
      <c r="L173" s="1207"/>
      <c r="M173" s="1207">
        <f t="shared" si="16"/>
        <v>-25265067.050000001</v>
      </c>
      <c r="N173" s="1207"/>
      <c r="O173" s="1207">
        <v>0</v>
      </c>
      <c r="P173" s="2148"/>
      <c r="Q173" s="2898"/>
    </row>
    <row r="174" spans="2:17" s="2885" customFormat="1" ht="15.5">
      <c r="B174" s="2893">
        <v>22158</v>
      </c>
      <c r="C174" s="2907"/>
      <c r="D174" s="2927" t="s">
        <v>644</v>
      </c>
      <c r="E174" s="2909"/>
      <c r="F174" s="2909"/>
      <c r="G174" s="1207">
        <v>0</v>
      </c>
      <c r="H174" s="1207"/>
      <c r="I174" s="1207">
        <v>0</v>
      </c>
      <c r="J174" s="1207"/>
      <c r="K174" s="1207">
        <v>0</v>
      </c>
      <c r="L174" s="1207"/>
      <c r="M174" s="1207">
        <f t="shared" si="16"/>
        <v>0</v>
      </c>
      <c r="N174" s="1207"/>
      <c r="O174" s="1207">
        <v>0</v>
      </c>
      <c r="P174" s="2148"/>
      <c r="Q174" s="2898"/>
    </row>
    <row r="175" spans="2:17" s="2885" customFormat="1" ht="15.5">
      <c r="B175" s="2893">
        <v>22168</v>
      </c>
      <c r="C175" s="2907"/>
      <c r="D175" s="2927" t="s">
        <v>645</v>
      </c>
      <c r="E175" s="2909"/>
      <c r="F175" s="2909"/>
      <c r="G175" s="1207">
        <v>0</v>
      </c>
      <c r="H175" s="1207"/>
      <c r="I175" s="1207">
        <v>0</v>
      </c>
      <c r="J175" s="1207"/>
      <c r="K175" s="1207">
        <v>0</v>
      </c>
      <c r="L175" s="1207"/>
      <c r="M175" s="1207">
        <f t="shared" si="16"/>
        <v>0</v>
      </c>
      <c r="N175" s="1207"/>
      <c r="O175" s="1207">
        <v>0</v>
      </c>
      <c r="P175" s="2148"/>
      <c r="Q175" s="2898"/>
    </row>
    <row r="176" spans="2:17" s="3079" customFormat="1" ht="15.5">
      <c r="B176" s="2910">
        <v>22240</v>
      </c>
      <c r="C176" s="2928"/>
      <c r="D176" s="2929" t="s">
        <v>1276</v>
      </c>
      <c r="E176" s="2913"/>
      <c r="F176" s="2913"/>
      <c r="G176" s="1207">
        <v>1606183.66</v>
      </c>
      <c r="H176" s="1207">
        <v>0</v>
      </c>
      <c r="I176" s="1207">
        <v>1656669.31</v>
      </c>
      <c r="J176" s="1207">
        <v>0</v>
      </c>
      <c r="K176" s="1207">
        <v>1274629.73</v>
      </c>
      <c r="L176" s="1207">
        <v>0</v>
      </c>
      <c r="M176" s="1207">
        <f t="shared" si="16"/>
        <v>106218.5</v>
      </c>
      <c r="N176" s="1207">
        <v>0</v>
      </c>
      <c r="O176" s="1207">
        <v>1380848.23</v>
      </c>
      <c r="P176" s="2148"/>
      <c r="Q176" s="3078"/>
    </row>
    <row r="177" spans="2:18" s="3079" customFormat="1" ht="15.5">
      <c r="B177" s="2910">
        <v>22246</v>
      </c>
      <c r="C177" s="2928"/>
      <c r="D177" s="2929" t="s">
        <v>1441</v>
      </c>
      <c r="E177" s="2913"/>
      <c r="F177" s="2913"/>
      <c r="G177" s="1207">
        <v>0</v>
      </c>
      <c r="H177" s="1207">
        <v>0</v>
      </c>
      <c r="I177" s="1207">
        <v>0</v>
      </c>
      <c r="J177" s="1207">
        <v>0</v>
      </c>
      <c r="K177" s="1207">
        <v>0</v>
      </c>
      <c r="L177" s="1207">
        <v>0</v>
      </c>
      <c r="M177" s="1207">
        <v>0</v>
      </c>
      <c r="N177" s="1207">
        <v>0</v>
      </c>
      <c r="O177" s="1207">
        <v>0</v>
      </c>
      <c r="P177" s="2148"/>
      <c r="Q177" s="3078"/>
    </row>
    <row r="178" spans="2:18" s="2885" customFormat="1" ht="15.5">
      <c r="B178" s="2893">
        <v>22654</v>
      </c>
      <c r="C178" s="2907"/>
      <c r="D178" s="2908" t="s">
        <v>646</v>
      </c>
      <c r="E178" s="2909"/>
      <c r="F178" s="2909"/>
      <c r="G178" s="1207">
        <v>20673610.469999999</v>
      </c>
      <c r="H178" s="1207"/>
      <c r="I178" s="1207">
        <v>20675784.98</v>
      </c>
      <c r="J178" s="1207"/>
      <c r="K178" s="1207">
        <v>20677507.030000001</v>
      </c>
      <c r="L178" s="1207"/>
      <c r="M178" s="1207">
        <f t="shared" si="16"/>
        <v>1676.81</v>
      </c>
      <c r="N178" s="1207"/>
      <c r="O178" s="1207">
        <v>20679183.84</v>
      </c>
      <c r="P178" s="2148"/>
      <c r="Q178" s="2898"/>
    </row>
    <row r="179" spans="2:18" s="2885" customFormat="1" ht="15.5">
      <c r="B179" s="2893">
        <v>22751</v>
      </c>
      <c r="C179" s="2907"/>
      <c r="D179" s="2908" t="s">
        <v>1177</v>
      </c>
      <c r="E179" s="2909"/>
      <c r="F179" s="2909"/>
      <c r="G179" s="1207">
        <v>23185.21</v>
      </c>
      <c r="H179" s="1207"/>
      <c r="I179" s="1207">
        <v>0</v>
      </c>
      <c r="J179" s="1207"/>
      <c r="K179" s="1207">
        <v>0</v>
      </c>
      <c r="L179" s="1207"/>
      <c r="M179" s="1207">
        <f>ROUND(SUM(O179)-SUM(K179),2)</f>
        <v>0</v>
      </c>
      <c r="N179" s="1207"/>
      <c r="O179" s="1207">
        <v>0</v>
      </c>
      <c r="P179" s="2148"/>
      <c r="Q179" s="2898"/>
    </row>
    <row r="180" spans="2:18" s="2885" customFormat="1" ht="15.5">
      <c r="B180" s="2893">
        <v>22802</v>
      </c>
      <c r="C180" s="2907"/>
      <c r="D180" s="2927" t="s">
        <v>647</v>
      </c>
      <c r="E180" s="2909"/>
      <c r="F180" s="2909"/>
      <c r="G180" s="1207">
        <v>0</v>
      </c>
      <c r="H180" s="1207"/>
      <c r="I180" s="1207">
        <v>0</v>
      </c>
      <c r="J180" s="1207"/>
      <c r="K180" s="1207">
        <v>0</v>
      </c>
      <c r="L180" s="1207"/>
      <c r="M180" s="1207">
        <f t="shared" si="16"/>
        <v>0</v>
      </c>
      <c r="N180" s="1207"/>
      <c r="O180" s="1207">
        <v>0</v>
      </c>
      <c r="P180" s="2148"/>
      <c r="Q180" s="2898"/>
    </row>
    <row r="181" spans="2:18" s="2885" customFormat="1" ht="15.5">
      <c r="B181" s="2893">
        <v>23001</v>
      </c>
      <c r="C181" s="2907"/>
      <c r="D181" s="2908" t="s">
        <v>648</v>
      </c>
      <c r="E181" s="2909"/>
      <c r="F181" s="2909"/>
      <c r="G181" s="1207">
        <v>16839996.98</v>
      </c>
      <c r="H181" s="1207"/>
      <c r="I181" s="1207">
        <v>17281214.32</v>
      </c>
      <c r="J181" s="1207"/>
      <c r="K181" s="1207">
        <v>16991456</v>
      </c>
      <c r="L181" s="1207"/>
      <c r="M181" s="1207">
        <f t="shared" si="16"/>
        <v>111839.73</v>
      </c>
      <c r="N181" s="1207"/>
      <c r="O181" s="1207">
        <v>17103295.73</v>
      </c>
      <c r="P181" s="2148"/>
      <c r="Q181" s="2898"/>
    </row>
    <row r="182" spans="2:18" s="2885" customFormat="1" ht="15.5">
      <c r="B182" s="2893">
        <v>23102</v>
      </c>
      <c r="C182" s="2907"/>
      <c r="D182" s="2927" t="s">
        <v>649</v>
      </c>
      <c r="E182" s="2909"/>
      <c r="F182" s="2909"/>
      <c r="G182" s="1207">
        <v>5350949.7</v>
      </c>
      <c r="H182" s="1207"/>
      <c r="I182" s="1207">
        <v>5350949.7</v>
      </c>
      <c r="J182" s="1207"/>
      <c r="K182" s="1207">
        <v>5350949.7</v>
      </c>
      <c r="L182" s="1207"/>
      <c r="M182" s="1207">
        <f t="shared" si="16"/>
        <v>0</v>
      </c>
      <c r="N182" s="1207"/>
      <c r="O182" s="1207">
        <v>5350949.7</v>
      </c>
      <c r="P182" s="2148"/>
      <c r="Q182" s="2898"/>
    </row>
    <row r="183" spans="2:18" s="2885" customFormat="1" ht="15.5">
      <c r="B183" s="2893">
        <v>23151</v>
      </c>
      <c r="C183" s="2907"/>
      <c r="D183" s="2908" t="s">
        <v>650</v>
      </c>
      <c r="E183" s="2909"/>
      <c r="F183" s="2909"/>
      <c r="G183" s="1207">
        <v>53091758.530000001</v>
      </c>
      <c r="H183" s="1207"/>
      <c r="I183" s="1207">
        <v>55596399.789999999</v>
      </c>
      <c r="J183" s="1207"/>
      <c r="K183" s="1207">
        <v>26556681.850000001</v>
      </c>
      <c r="L183" s="1207"/>
      <c r="M183" s="1207">
        <f t="shared" si="16"/>
        <v>4407430.63</v>
      </c>
      <c r="N183" s="1207"/>
      <c r="O183" s="1207">
        <v>30964112.48</v>
      </c>
      <c r="P183" s="2148"/>
      <c r="Q183" s="2898"/>
    </row>
    <row r="184" spans="2:18" s="2885" customFormat="1" ht="15.5">
      <c r="B184" s="2893">
        <v>23701</v>
      </c>
      <c r="C184" s="2907"/>
      <c r="D184" s="2908" t="s">
        <v>1512</v>
      </c>
      <c r="E184" s="2909"/>
      <c r="F184" s="2909"/>
      <c r="G184" s="1207">
        <v>0</v>
      </c>
      <c r="H184" s="1207"/>
      <c r="I184" s="1207">
        <v>0</v>
      </c>
      <c r="J184" s="1207"/>
      <c r="K184" s="1207">
        <v>0</v>
      </c>
      <c r="L184" s="1207"/>
      <c r="M184" s="1207">
        <f t="shared" ref="M184" si="17">ROUND(SUM(O184)-SUM(K184),2)</f>
        <v>0</v>
      </c>
      <c r="N184" s="1207"/>
      <c r="O184" s="1207">
        <v>0</v>
      </c>
      <c r="P184" s="2148" t="s">
        <v>1522</v>
      </c>
      <c r="Q184" s="2898" t="s">
        <v>14</v>
      </c>
    </row>
    <row r="185" spans="2:18" s="2885" customFormat="1" ht="15.5">
      <c r="B185" s="2931">
        <v>23702</v>
      </c>
      <c r="C185" s="2907"/>
      <c r="D185" s="2927" t="s">
        <v>863</v>
      </c>
      <c r="E185" s="2909"/>
      <c r="F185" s="2909"/>
      <c r="G185" s="1207">
        <v>21495412.34</v>
      </c>
      <c r="H185" s="1207"/>
      <c r="I185" s="1207">
        <v>21859993.239999998</v>
      </c>
      <c r="J185" s="1207"/>
      <c r="K185" s="1207">
        <v>22271880.5</v>
      </c>
      <c r="L185" s="1207"/>
      <c r="M185" s="1207">
        <f t="shared" si="16"/>
        <v>306399.90999999997</v>
      </c>
      <c r="N185" s="1207"/>
      <c r="O185" s="1207">
        <v>22578280.41</v>
      </c>
      <c r="P185" s="2148"/>
      <c r="Q185" s="2898"/>
    </row>
    <row r="186" spans="2:18" s="2885" customFormat="1" ht="15.5">
      <c r="B186" s="2931">
        <v>23801</v>
      </c>
      <c r="C186" s="2907"/>
      <c r="D186" s="2927" t="s">
        <v>1186</v>
      </c>
      <c r="E186" s="2909"/>
      <c r="F186" s="2909"/>
      <c r="G186" s="1207">
        <v>0</v>
      </c>
      <c r="H186" s="1207"/>
      <c r="I186" s="1207">
        <v>0</v>
      </c>
      <c r="J186" s="1207"/>
      <c r="K186" s="1207">
        <v>0</v>
      </c>
      <c r="L186" s="1207"/>
      <c r="M186" s="1207">
        <f>ROUND(SUM(O186)-SUM(K186),2)</f>
        <v>0</v>
      </c>
      <c r="N186" s="1207"/>
      <c r="O186" s="1207">
        <v>0</v>
      </c>
      <c r="P186" s="2905"/>
      <c r="Q186" s="2898"/>
    </row>
    <row r="187" spans="2:18" s="2885" customFormat="1" ht="15.5">
      <c r="B187" s="2931">
        <v>23806</v>
      </c>
      <c r="C187" s="2907"/>
      <c r="D187" s="2927" t="s">
        <v>1220</v>
      </c>
      <c r="E187" s="2909"/>
      <c r="F187" s="2909"/>
      <c r="G187" s="1207">
        <v>0</v>
      </c>
      <c r="H187" s="1207"/>
      <c r="I187" s="1207">
        <v>0</v>
      </c>
      <c r="J187" s="1207"/>
      <c r="K187" s="1207">
        <v>0</v>
      </c>
      <c r="L187" s="1207"/>
      <c r="M187" s="1207">
        <f t="shared" ref="M187:M188" si="18">ROUND(SUM(O187)-SUM(K187),2)</f>
        <v>0</v>
      </c>
      <c r="N187" s="1207"/>
      <c r="O187" s="1207">
        <v>0</v>
      </c>
      <c r="P187" s="2905"/>
      <c r="Q187" s="2898"/>
    </row>
    <row r="188" spans="2:18" s="2885" customFormat="1" ht="15.5">
      <c r="B188" s="2931">
        <v>24951</v>
      </c>
      <c r="C188" s="2907"/>
      <c r="D188" s="2927" t="s">
        <v>1221</v>
      </c>
      <c r="E188" s="2909"/>
      <c r="F188" s="2909"/>
      <c r="G188" s="1207">
        <v>37509.74</v>
      </c>
      <c r="H188" s="1207"/>
      <c r="I188" s="1207">
        <v>59230.63</v>
      </c>
      <c r="J188" s="1207"/>
      <c r="K188" s="1207">
        <v>75811.44</v>
      </c>
      <c r="L188" s="1207"/>
      <c r="M188" s="1207">
        <f t="shared" si="18"/>
        <v>3376.49</v>
      </c>
      <c r="N188" s="1207"/>
      <c r="O188" s="1207">
        <v>79187.929999999993</v>
      </c>
      <c r="P188" s="2905"/>
      <c r="Q188" s="2898"/>
    </row>
    <row r="189" spans="2:18" s="2885" customFormat="1" ht="16" thickBot="1">
      <c r="B189" s="2915"/>
      <c r="C189" s="2887"/>
      <c r="D189" s="2900" t="s">
        <v>651</v>
      </c>
      <c r="E189" s="2889"/>
      <c r="F189" s="2889"/>
      <c r="G189" s="1574">
        <f>ROUND(SUM(G105:G188),2)</f>
        <v>1787079053.48</v>
      </c>
      <c r="H189" s="1463"/>
      <c r="I189" s="1574">
        <f>ROUND(SUM(I105:I188),2)</f>
        <v>1698264823.53</v>
      </c>
      <c r="J189" s="2118"/>
      <c r="K189" s="1574">
        <f>ROUND(SUM(K105:K188),2)</f>
        <v>431205924.88</v>
      </c>
      <c r="L189" s="2520"/>
      <c r="M189" s="1574">
        <f>ROUND(SUM(M105:M188),2)</f>
        <v>15016664.289999999</v>
      </c>
      <c r="N189" s="2520"/>
      <c r="O189" s="1574">
        <f>ROUND(SUM(O105:O188),2)</f>
        <v>446222589.17000002</v>
      </c>
      <c r="P189" s="2905"/>
      <c r="Q189" s="2898"/>
    </row>
    <row r="190" spans="2:18" s="2885" customFormat="1" ht="16" thickTop="1">
      <c r="B190" s="2932"/>
      <c r="C190" s="2917"/>
      <c r="D190" s="2933"/>
      <c r="E190" s="2907"/>
      <c r="F190" s="2907"/>
      <c r="G190" s="1207"/>
      <c r="H190" s="3100"/>
      <c r="I190" s="2148"/>
      <c r="J190" s="3100"/>
      <c r="K190" s="2148"/>
      <c r="L190" s="3100"/>
      <c r="M190" s="1207"/>
      <c r="N190" s="3100"/>
      <c r="O190" s="2148"/>
      <c r="P190" s="2905"/>
      <c r="Q190" s="2898"/>
    </row>
    <row r="191" spans="2:18" s="2885" customFormat="1" ht="15.5">
      <c r="B191" s="2932"/>
      <c r="C191" s="2887"/>
      <c r="D191" s="2900" t="s">
        <v>652</v>
      </c>
      <c r="E191" s="2889"/>
      <c r="F191" s="2889"/>
      <c r="G191" s="1207"/>
      <c r="H191" s="3100"/>
      <c r="I191" s="2148"/>
      <c r="J191" s="3100"/>
      <c r="K191" s="2148"/>
      <c r="L191" s="3100"/>
      <c r="M191" s="1208"/>
      <c r="N191" s="3502"/>
      <c r="O191" s="2148"/>
      <c r="P191" s="2905"/>
      <c r="Q191" s="3078"/>
      <c r="R191" s="3079"/>
    </row>
    <row r="192" spans="2:18" s="3079" customFormat="1" ht="15.5">
      <c r="B192" s="2939" t="s">
        <v>653</v>
      </c>
      <c r="C192" s="3101"/>
      <c r="D192" s="2930" t="s">
        <v>654</v>
      </c>
      <c r="E192" s="3077"/>
      <c r="F192" s="3077"/>
      <c r="G192" s="3589">
        <v>5921211.5800000001</v>
      </c>
      <c r="H192" s="1207"/>
      <c r="I192" s="3589">
        <v>114685009.66</v>
      </c>
      <c r="J192" s="1207"/>
      <c r="K192" s="3589">
        <v>12583217.42</v>
      </c>
      <c r="L192" s="1207"/>
      <c r="M192" s="1207">
        <f>ROUND(SUM(O192)-SUM(K192),2)</f>
        <v>35248175.289999999</v>
      </c>
      <c r="N192" s="1207"/>
      <c r="O192" s="3589">
        <v>47831392.710000001</v>
      </c>
      <c r="P192" s="2905"/>
      <c r="Q192" s="3078"/>
    </row>
    <row r="193" spans="2:18" s="3079" customFormat="1" ht="15.5">
      <c r="B193" s="2939" t="s">
        <v>655</v>
      </c>
      <c r="C193" s="3101"/>
      <c r="D193" s="2930" t="s">
        <v>656</v>
      </c>
      <c r="E193" s="3077"/>
      <c r="F193" s="3077"/>
      <c r="G193" s="3589">
        <v>463975848.19</v>
      </c>
      <c r="H193" s="1207"/>
      <c r="I193" s="3589">
        <v>616818369.22000003</v>
      </c>
      <c r="J193" s="1207"/>
      <c r="K193" s="3589">
        <v>2444991732.2800002</v>
      </c>
      <c r="L193" s="1207"/>
      <c r="M193" s="1207">
        <f t="shared" ref="M193:M197" si="19">ROUND(SUM(O193)-SUM(K193),2)</f>
        <v>328676827.81999999</v>
      </c>
      <c r="N193" s="1207"/>
      <c r="O193" s="3589">
        <v>2773668560.0999999</v>
      </c>
      <c r="P193" s="2905"/>
      <c r="Q193" s="3078"/>
    </row>
    <row r="194" spans="2:18" s="3079" customFormat="1" ht="15.5">
      <c r="B194" s="2939" t="s">
        <v>657</v>
      </c>
      <c r="C194" s="3101"/>
      <c r="D194" s="2929" t="s">
        <v>658</v>
      </c>
      <c r="E194" s="3077"/>
      <c r="F194" s="3077"/>
      <c r="G194" s="3589">
        <v>29762688.710000001</v>
      </c>
      <c r="H194" s="1207"/>
      <c r="I194" s="3589">
        <v>52262948.689999998</v>
      </c>
      <c r="J194" s="1207"/>
      <c r="K194" s="3589">
        <v>19664226.449999999</v>
      </c>
      <c r="L194" s="1207"/>
      <c r="M194" s="1207">
        <f t="shared" si="19"/>
        <v>94049558.569999993</v>
      </c>
      <c r="N194" s="1207"/>
      <c r="O194" s="3589">
        <v>113713785.02</v>
      </c>
      <c r="P194" s="2905"/>
      <c r="Q194" s="3078"/>
    </row>
    <row r="195" spans="2:18" s="3079" customFormat="1" ht="15.5">
      <c r="B195" s="2939" t="s">
        <v>1187</v>
      </c>
      <c r="C195" s="3101"/>
      <c r="D195" s="2929" t="s">
        <v>1188</v>
      </c>
      <c r="E195" s="3077"/>
      <c r="F195" s="3077"/>
      <c r="G195" s="3589">
        <v>0</v>
      </c>
      <c r="H195" s="1207"/>
      <c r="I195" s="3589">
        <v>0</v>
      </c>
      <c r="J195" s="1207"/>
      <c r="K195" s="3589">
        <v>0</v>
      </c>
      <c r="L195" s="1207"/>
      <c r="M195" s="1207">
        <f t="shared" si="19"/>
        <v>0</v>
      </c>
      <c r="N195" s="1207"/>
      <c r="O195" s="3589">
        <v>0</v>
      </c>
      <c r="P195" s="2905"/>
      <c r="Q195" s="3078"/>
    </row>
    <row r="196" spans="2:18" s="3079" customFormat="1" ht="15.5">
      <c r="B196" s="2939" t="s">
        <v>659</v>
      </c>
      <c r="C196" s="2929"/>
      <c r="D196" s="2930" t="s">
        <v>660</v>
      </c>
      <c r="E196" s="3077"/>
      <c r="F196" s="3077"/>
      <c r="G196" s="3589">
        <v>471249600.16000003</v>
      </c>
      <c r="H196" s="1207"/>
      <c r="I196" s="3589">
        <v>493344470.56</v>
      </c>
      <c r="J196" s="1207"/>
      <c r="K196" s="3589">
        <v>486966335.85000002</v>
      </c>
      <c r="L196" s="1207"/>
      <c r="M196" s="1207">
        <f t="shared" si="19"/>
        <v>-8941626.7599999998</v>
      </c>
      <c r="N196" s="1207"/>
      <c r="O196" s="3589">
        <v>478024709.08999997</v>
      </c>
      <c r="P196" s="2905"/>
      <c r="Q196" s="3078"/>
    </row>
    <row r="197" spans="2:18" s="3079" customFormat="1" ht="15.5">
      <c r="B197" s="2910">
        <v>31351</v>
      </c>
      <c r="C197" s="2929"/>
      <c r="D197" s="2930" t="s">
        <v>661</v>
      </c>
      <c r="E197" s="3077"/>
      <c r="F197" s="3077"/>
      <c r="G197" s="3845">
        <v>8753932.6600000001</v>
      </c>
      <c r="H197" s="3845">
        <v>0</v>
      </c>
      <c r="I197" s="3845">
        <v>8753932.6600000001</v>
      </c>
      <c r="J197" s="3845">
        <v>0</v>
      </c>
      <c r="K197" s="3845">
        <v>8753932.6600000001</v>
      </c>
      <c r="L197" s="1207"/>
      <c r="M197" s="1207">
        <f t="shared" si="19"/>
        <v>0</v>
      </c>
      <c r="N197" s="1207"/>
      <c r="O197" s="3845">
        <v>8753932.6600000001</v>
      </c>
      <c r="P197" s="2920"/>
      <c r="Q197" s="3078"/>
    </row>
    <row r="198" spans="2:18" s="3079" customFormat="1" ht="15.5">
      <c r="B198" s="2826">
        <v>31354</v>
      </c>
      <c r="C198" s="3080"/>
      <c r="D198" s="2912" t="s">
        <v>662</v>
      </c>
      <c r="E198" s="3077"/>
      <c r="F198" s="3077"/>
      <c r="G198" s="3845">
        <v>294284894.79000002</v>
      </c>
      <c r="H198" s="3845">
        <v>0</v>
      </c>
      <c r="I198" s="3845">
        <v>559474133.62</v>
      </c>
      <c r="J198" s="3845">
        <v>0</v>
      </c>
      <c r="K198" s="3845">
        <v>537821805.97000003</v>
      </c>
      <c r="L198" s="1207"/>
      <c r="M198" s="1207">
        <f>ROUND(SUM(O198)-SUM(K198),2)</f>
        <v>48941575.850000001</v>
      </c>
      <c r="N198" s="1207"/>
      <c r="O198" s="3845">
        <v>586763381.82000005</v>
      </c>
      <c r="P198" s="2934"/>
      <c r="Q198" s="3078"/>
    </row>
    <row r="199" spans="2:18" s="3079" customFormat="1" ht="15.5">
      <c r="B199" s="3081" t="s">
        <v>663</v>
      </c>
      <c r="C199" s="2928"/>
      <c r="D199" s="2930" t="s">
        <v>664</v>
      </c>
      <c r="E199" s="3077"/>
      <c r="F199" s="3077"/>
      <c r="G199" s="1207">
        <v>111552071.94</v>
      </c>
      <c r="H199" s="1207" t="s">
        <v>14</v>
      </c>
      <c r="I199" s="1207">
        <v>113174287.06</v>
      </c>
      <c r="J199" s="1207" t="s">
        <v>14</v>
      </c>
      <c r="K199" s="3845">
        <v>105640539.40000001</v>
      </c>
      <c r="L199" s="1207"/>
      <c r="M199" s="1207">
        <f>ROUND(SUM(O199)-SUM(K199),2)</f>
        <v>-1576612.18</v>
      </c>
      <c r="N199" s="1207"/>
      <c r="O199" s="3845">
        <v>104063927.22</v>
      </c>
      <c r="P199" s="3082"/>
      <c r="Q199" s="3078"/>
    </row>
    <row r="200" spans="2:18" s="3079" customFormat="1" ht="15.5">
      <c r="B200" s="2937" t="s">
        <v>864</v>
      </c>
      <c r="C200" s="2928"/>
      <c r="D200" s="2930" t="s">
        <v>865</v>
      </c>
      <c r="E200" s="2938"/>
      <c r="F200" s="2938"/>
      <c r="G200" s="1207">
        <v>246996095.93000001</v>
      </c>
      <c r="H200" s="1207"/>
      <c r="I200" s="1207">
        <v>263720313.36000001</v>
      </c>
      <c r="J200" s="1207"/>
      <c r="K200" s="3845">
        <v>71611428.439999998</v>
      </c>
      <c r="L200" s="1207"/>
      <c r="M200" s="1207">
        <f>ROUND(SUM(O200)-SUM(K200),2)</f>
        <v>-3451879.99</v>
      </c>
      <c r="N200" s="1207"/>
      <c r="O200" s="3845">
        <v>68159548.450000003</v>
      </c>
      <c r="P200" s="2939"/>
      <c r="Q200" s="3078"/>
    </row>
    <row r="201" spans="2:18" s="3079" customFormat="1" ht="15.5">
      <c r="B201" s="2940">
        <v>25950</v>
      </c>
      <c r="C201" s="2928"/>
      <c r="D201" s="2930" t="s">
        <v>665</v>
      </c>
      <c r="E201" s="2941"/>
      <c r="F201" s="2941"/>
      <c r="G201" s="3845">
        <v>462563.5</v>
      </c>
      <c r="H201" s="3845">
        <v>0</v>
      </c>
      <c r="I201" s="3845">
        <v>480214</v>
      </c>
      <c r="J201" s="3845">
        <v>0</v>
      </c>
      <c r="K201" s="3845">
        <v>503270</v>
      </c>
      <c r="L201" s="1207"/>
      <c r="M201" s="1207">
        <f>ROUND(SUM(O201)-SUM(K201),2)</f>
        <v>-126615.5</v>
      </c>
      <c r="N201" s="1207"/>
      <c r="O201" s="3845">
        <v>376654.5</v>
      </c>
      <c r="P201" s="2939"/>
      <c r="Q201" s="3078"/>
    </row>
    <row r="202" spans="2:18" s="3079" customFormat="1" ht="15.5">
      <c r="B202" s="2937" t="s">
        <v>1161</v>
      </c>
      <c r="C202" s="2928"/>
      <c r="D202" s="2929" t="s">
        <v>866</v>
      </c>
      <c r="E202" s="2938"/>
      <c r="F202" s="2938"/>
      <c r="G202" s="2148">
        <v>12922420.9</v>
      </c>
      <c r="H202" s="1207"/>
      <c r="I202" s="2148">
        <v>8298815.5300000003</v>
      </c>
      <c r="J202" s="1207"/>
      <c r="K202" s="2148">
        <v>7198320.4800000004</v>
      </c>
      <c r="L202" s="1207"/>
      <c r="M202" s="1207">
        <f t="shared" ref="M202" si="20">ROUND(SUM(O202)-SUM(K202),2)</f>
        <v>2040229.95</v>
      </c>
      <c r="N202" s="1207"/>
      <c r="O202" s="2148">
        <v>9238550.4299999997</v>
      </c>
      <c r="P202" s="2939"/>
      <c r="Q202" s="3078"/>
    </row>
    <row r="203" spans="2:18" s="2885" customFormat="1" ht="16" thickBot="1">
      <c r="B203" s="2942"/>
      <c r="C203" s="2901"/>
      <c r="D203" s="2900" t="s">
        <v>666</v>
      </c>
      <c r="E203" s="2902"/>
      <c r="F203" s="2902"/>
      <c r="G203" s="1574">
        <f>ROUND(SUM(G192:G202),2)</f>
        <v>1645881328.3599999</v>
      </c>
      <c r="H203" s="2118"/>
      <c r="I203" s="1574">
        <f>ROUND(SUM(I192:I202),2)</f>
        <v>2231012494.3600001</v>
      </c>
      <c r="J203" s="2118"/>
      <c r="K203" s="1574">
        <f>ROUND(SUM(K192:K202),2)</f>
        <v>3695734808.9499998</v>
      </c>
      <c r="L203" s="2532"/>
      <c r="M203" s="1209">
        <f>ROUND(SUM(M192:M202),2)</f>
        <v>494859633.05000001</v>
      </c>
      <c r="N203" s="2532"/>
      <c r="O203" s="1574">
        <f>ROUND(SUM(O192:O202),2)</f>
        <v>4190594442</v>
      </c>
      <c r="P203" s="2934" t="s">
        <v>112</v>
      </c>
      <c r="Q203" s="3078"/>
      <c r="R203" s="3079"/>
    </row>
    <row r="204" spans="2:18" s="2885" customFormat="1" ht="16" thickTop="1">
      <c r="B204" s="2915"/>
      <c r="C204" s="2901"/>
      <c r="D204" s="2913"/>
      <c r="E204" s="2902"/>
      <c r="F204" s="2902"/>
      <c r="G204" s="1208"/>
      <c r="H204" s="3502"/>
      <c r="I204" s="2943"/>
      <c r="J204" s="3502"/>
      <c r="K204" s="2943"/>
      <c r="L204" s="3502"/>
      <c r="M204" s="1208"/>
      <c r="N204" s="3502"/>
      <c r="O204" s="2943"/>
      <c r="P204" s="3081"/>
      <c r="Q204" s="3078"/>
      <c r="R204" s="3079"/>
    </row>
    <row r="205" spans="2:18" s="2885" customFormat="1" ht="15.5">
      <c r="B205" s="2932"/>
      <c r="C205" s="2901"/>
      <c r="D205" s="2888" t="s">
        <v>667</v>
      </c>
      <c r="E205" s="2902"/>
      <c r="F205" s="2902"/>
      <c r="G205" s="1207"/>
      <c r="H205" s="2923"/>
      <c r="I205" s="2148"/>
      <c r="J205" s="2923"/>
      <c r="K205" s="2148"/>
      <c r="L205" s="2923"/>
      <c r="M205" s="1208"/>
      <c r="N205" s="1480"/>
      <c r="O205" s="2148"/>
      <c r="P205" s="2944"/>
      <c r="Q205" s="2898"/>
    </row>
    <row r="206" spans="2:18" s="2885" customFormat="1" ht="15.5">
      <c r="B206" s="2910">
        <v>60201</v>
      </c>
      <c r="C206" s="2887"/>
      <c r="D206" s="2908" t="s">
        <v>668</v>
      </c>
      <c r="E206" s="2902"/>
      <c r="F206" s="2902"/>
      <c r="G206" s="1207">
        <v>0</v>
      </c>
      <c r="H206" s="1207"/>
      <c r="I206" s="1207">
        <v>0</v>
      </c>
      <c r="J206" s="1207"/>
      <c r="K206" s="1207">
        <v>0</v>
      </c>
      <c r="L206" s="1207"/>
      <c r="M206" s="1207">
        <f>ROUND(SUM(O206)-SUM(K206),2)</f>
        <v>0</v>
      </c>
      <c r="N206" s="1207"/>
      <c r="O206" s="1207">
        <v>0</v>
      </c>
      <c r="P206" s="2944"/>
      <c r="Q206" s="2898"/>
    </row>
    <row r="207" spans="2:18" s="2885" customFormat="1" ht="15.5">
      <c r="B207" s="2893">
        <v>60901</v>
      </c>
      <c r="C207" s="2907"/>
      <c r="D207" s="2927" t="s">
        <v>887</v>
      </c>
      <c r="E207" s="2909"/>
      <c r="F207" s="2909"/>
      <c r="G207" s="1207">
        <v>0</v>
      </c>
      <c r="H207" s="1207"/>
      <c r="I207" s="1207">
        <v>0</v>
      </c>
      <c r="J207" s="1207"/>
      <c r="K207" s="1207">
        <v>0</v>
      </c>
      <c r="L207" s="1207"/>
      <c r="M207" s="1207">
        <f>ROUND(SUM(O207)-SUM(K207),2)</f>
        <v>0</v>
      </c>
      <c r="N207" s="1207"/>
      <c r="O207" s="1207">
        <v>0</v>
      </c>
      <c r="P207" s="2944"/>
      <c r="Q207" s="2898" t="s">
        <v>14</v>
      </c>
    </row>
    <row r="208" spans="2:18" s="2885" customFormat="1" ht="16" thickBot="1">
      <c r="B208" s="2931"/>
      <c r="C208" s="2887"/>
      <c r="D208" s="2888" t="s">
        <v>669</v>
      </c>
      <c r="E208" s="2902"/>
      <c r="F208" s="2902"/>
      <c r="G208" s="1574">
        <f>ROUND(SUM(G206:G207),2)</f>
        <v>0</v>
      </c>
      <c r="H208" s="1463"/>
      <c r="I208" s="1577">
        <f>ROUND(SUM(I206:I207),2)</f>
        <v>0</v>
      </c>
      <c r="J208" s="1463"/>
      <c r="K208" s="1577">
        <f>ROUND(SUM(K206:K207),2)</f>
        <v>0</v>
      </c>
      <c r="L208" s="1463"/>
      <c r="M208" s="1209">
        <f>ROUND(SUM(M206:M207),2)</f>
        <v>0</v>
      </c>
      <c r="N208" s="1463"/>
      <c r="O208" s="1577">
        <f>ROUND(SUM(O206:O207),2)</f>
        <v>0</v>
      </c>
      <c r="P208" s="2905"/>
      <c r="Q208" s="2898"/>
    </row>
    <row r="209" spans="2:17" s="2885" customFormat="1" ht="16" thickTop="1">
      <c r="B209" s="2931"/>
      <c r="C209" s="2945"/>
      <c r="D209" s="2945"/>
      <c r="E209" s="2946"/>
      <c r="F209" s="2946"/>
      <c r="G209" s="1207"/>
      <c r="H209" s="2923"/>
      <c r="I209" s="2148"/>
      <c r="J209" s="2923"/>
      <c r="K209" s="2148"/>
      <c r="L209" s="2923"/>
      <c r="M209" s="1207"/>
      <c r="N209" s="2923"/>
      <c r="O209" s="2148"/>
      <c r="P209" s="2899"/>
      <c r="Q209" s="2898"/>
    </row>
    <row r="210" spans="2:17" s="2885" customFormat="1" ht="15.5">
      <c r="B210" s="2931"/>
      <c r="C210" s="2916"/>
      <c r="D210" s="2888" t="s">
        <v>670</v>
      </c>
      <c r="E210" s="2922"/>
      <c r="F210" s="2922"/>
      <c r="G210" s="1207"/>
      <c r="H210" s="2923"/>
      <c r="I210" s="2148"/>
      <c r="J210" s="2923"/>
      <c r="K210" s="2148"/>
      <c r="L210" s="2923"/>
      <c r="M210" s="1210"/>
      <c r="N210" s="2947"/>
      <c r="O210" s="2148"/>
      <c r="P210" s="2935"/>
      <c r="Q210" s="2898"/>
    </row>
    <row r="211" spans="2:17" s="2885" customFormat="1" ht="15.5">
      <c r="B211" s="2893">
        <v>50318</v>
      </c>
      <c r="C211" s="2917"/>
      <c r="D211" s="2929" t="s">
        <v>671</v>
      </c>
      <c r="E211" s="2892"/>
      <c r="F211" s="2892"/>
      <c r="G211" s="1207">
        <v>909948.94</v>
      </c>
      <c r="H211" s="1207"/>
      <c r="I211" s="1207">
        <v>930931.15</v>
      </c>
      <c r="J211" s="1207"/>
      <c r="K211" s="1207">
        <v>989160.13</v>
      </c>
      <c r="L211" s="1207"/>
      <c r="M211" s="1207">
        <f>ROUND(SUM(O211)-SUM(K211),2)</f>
        <v>22572.15</v>
      </c>
      <c r="N211" s="1207"/>
      <c r="O211" s="1207">
        <v>1011732.28</v>
      </c>
      <c r="P211" s="2944"/>
      <c r="Q211" s="2898"/>
    </row>
    <row r="212" spans="2:17" s="2885" customFormat="1" ht="15.5">
      <c r="B212" s="2893">
        <v>50327</v>
      </c>
      <c r="C212" s="2917"/>
      <c r="D212" s="2929" t="s">
        <v>1173</v>
      </c>
      <c r="E212" s="2892"/>
      <c r="F212" s="2892"/>
      <c r="G212" s="1207">
        <v>278641.71999999997</v>
      </c>
      <c r="H212" s="1207"/>
      <c r="I212" s="1207">
        <v>274184.69</v>
      </c>
      <c r="J212" s="1207"/>
      <c r="K212" s="1207">
        <v>283602.52</v>
      </c>
      <c r="L212" s="1207"/>
      <c r="M212" s="1207">
        <f>ROUND(SUM(O212)-SUM(K212),2)</f>
        <v>2515.12</v>
      </c>
      <c r="N212" s="1207"/>
      <c r="O212" s="1207">
        <v>286117.64</v>
      </c>
      <c r="P212" s="2944"/>
      <c r="Q212" s="2898"/>
    </row>
    <row r="213" spans="2:17" s="2885" customFormat="1" ht="16" thickBot="1">
      <c r="B213" s="2948"/>
      <c r="C213" s="2887"/>
      <c r="D213" s="2900" t="s">
        <v>672</v>
      </c>
      <c r="E213" s="2889"/>
      <c r="F213" s="2889"/>
      <c r="G213" s="1574">
        <f>ROUND(SUM(G211:G212),2)</f>
        <v>1188590.6599999999</v>
      </c>
      <c r="H213" s="1463"/>
      <c r="I213" s="2949">
        <f>ROUND(SUM(I211:I212),2)</f>
        <v>1205115.8400000001</v>
      </c>
      <c r="J213" s="1463"/>
      <c r="K213" s="2949">
        <f>ROUND(SUM(K211:K212),2)</f>
        <v>1272762.6499999999</v>
      </c>
      <c r="L213" s="1463"/>
      <c r="M213" s="1481">
        <f>ROUND(SUM(M211:M212),2)</f>
        <v>25087.27</v>
      </c>
      <c r="N213" s="1463"/>
      <c r="O213" s="3611">
        <f>ROUND(SUM(O211:O212),2)</f>
        <v>1297849.92</v>
      </c>
      <c r="P213" s="2920"/>
      <c r="Q213" s="2898"/>
    </row>
    <row r="214" spans="2:17" s="2885" customFormat="1" ht="16" thickTop="1">
      <c r="B214" s="2917"/>
      <c r="C214" s="2917"/>
      <c r="D214" s="2950"/>
      <c r="E214" s="2892"/>
      <c r="F214" s="2892"/>
      <c r="G214" s="1482"/>
      <c r="H214" s="1482"/>
      <c r="I214" s="2951"/>
      <c r="J214" s="1482"/>
      <c r="K214" s="2951"/>
      <c r="L214" s="1482"/>
      <c r="M214" s="1482"/>
      <c r="N214" s="1482"/>
      <c r="O214" s="2148"/>
      <c r="P214" s="2942"/>
      <c r="Q214" s="2898"/>
    </row>
    <row r="215" spans="2:17" s="2885" customFormat="1" ht="15.5">
      <c r="B215" s="2886"/>
      <c r="C215" s="2887"/>
      <c r="D215" s="2888" t="s">
        <v>219</v>
      </c>
      <c r="E215" s="2889"/>
      <c r="F215" s="2889"/>
      <c r="G215" s="2923"/>
      <c r="H215" s="2923"/>
      <c r="I215" s="2924"/>
      <c r="J215" s="2923"/>
      <c r="K215" s="2924"/>
      <c r="L215" s="2923"/>
      <c r="M215" s="1480"/>
      <c r="N215" s="1480"/>
      <c r="O215" s="3610"/>
      <c r="P215" s="2892"/>
      <c r="Q215" s="2898"/>
    </row>
    <row r="216" spans="2:17" s="2885" customFormat="1" ht="15.5">
      <c r="B216" s="2893">
        <v>55001</v>
      </c>
      <c r="C216" s="2917"/>
      <c r="D216" s="2929" t="s">
        <v>1513</v>
      </c>
      <c r="E216" s="2892"/>
      <c r="F216" s="2892"/>
      <c r="G216" s="1207">
        <v>0</v>
      </c>
      <c r="H216" s="1207"/>
      <c r="I216" s="1207">
        <v>0</v>
      </c>
      <c r="J216" s="1207"/>
      <c r="K216" s="1207">
        <v>0</v>
      </c>
      <c r="L216" s="1207"/>
      <c r="M216" s="1207">
        <f t="shared" ref="M216:M259" si="21">ROUND(SUM(O216)-SUM(K216),2)</f>
        <v>0</v>
      </c>
      <c r="N216" s="1207"/>
      <c r="O216" s="1207">
        <v>0</v>
      </c>
      <c r="P216" s="2914"/>
      <c r="Q216" s="2898"/>
    </row>
    <row r="217" spans="2:17" s="2885" customFormat="1" ht="15.5">
      <c r="B217" s="2893">
        <v>55002</v>
      </c>
      <c r="C217" s="2917"/>
      <c r="D217" s="2929" t="s">
        <v>1514</v>
      </c>
      <c r="E217" s="2892"/>
      <c r="F217" s="2892"/>
      <c r="G217" s="1207">
        <v>0</v>
      </c>
      <c r="H217" s="1207"/>
      <c r="I217" s="1207">
        <v>0</v>
      </c>
      <c r="J217" s="1207"/>
      <c r="K217" s="1207">
        <v>0</v>
      </c>
      <c r="L217" s="1207"/>
      <c r="M217" s="1207">
        <f>ROUND(SUM(O217)-SUM(K217),2)</f>
        <v>0</v>
      </c>
      <c r="N217" s="1207"/>
      <c r="O217" s="1207">
        <v>0</v>
      </c>
      <c r="P217" s="2914"/>
      <c r="Q217" s="2898"/>
    </row>
    <row r="218" spans="2:17" s="2885" customFormat="1" ht="15.5">
      <c r="B218" s="2893">
        <v>55003</v>
      </c>
      <c r="C218" s="2907"/>
      <c r="D218" s="2929" t="s">
        <v>673</v>
      </c>
      <c r="E218" s="2909"/>
      <c r="F218" s="2909"/>
      <c r="G218" s="1207">
        <v>1415556.47</v>
      </c>
      <c r="H218" s="1207"/>
      <c r="I218" s="1207">
        <v>1430894.99</v>
      </c>
      <c r="J218" s="1207"/>
      <c r="K218" s="1207">
        <v>1016572.91</v>
      </c>
      <c r="L218" s="1207"/>
      <c r="M218" s="1207">
        <f t="shared" si="21"/>
        <v>-259958.46</v>
      </c>
      <c r="N218" s="1207"/>
      <c r="O218" s="1207">
        <v>756614.45</v>
      </c>
      <c r="P218" s="2905"/>
      <c r="Q218" s="2898"/>
    </row>
    <row r="219" spans="2:17" s="2885" customFormat="1" ht="15.5">
      <c r="B219" s="2893">
        <v>55004</v>
      </c>
      <c r="C219" s="2928"/>
      <c r="D219" s="2952" t="s">
        <v>674</v>
      </c>
      <c r="E219" s="2913"/>
      <c r="F219" s="2913"/>
      <c r="G219" s="1207">
        <v>134821.26999999999</v>
      </c>
      <c r="H219" s="1207"/>
      <c r="I219" s="1207">
        <v>226461.51</v>
      </c>
      <c r="J219" s="1207"/>
      <c r="K219" s="1207">
        <v>0</v>
      </c>
      <c r="L219" s="1207"/>
      <c r="M219" s="1207">
        <f t="shared" si="21"/>
        <v>0</v>
      </c>
      <c r="N219" s="1207"/>
      <c r="O219" s="1207">
        <v>0</v>
      </c>
      <c r="P219" s="2905"/>
      <c r="Q219" s="2898"/>
    </row>
    <row r="220" spans="2:17" s="2885" customFormat="1" ht="15.5">
      <c r="B220" s="2893">
        <v>55005</v>
      </c>
      <c r="C220" s="2928"/>
      <c r="D220" s="2952" t="s">
        <v>1515</v>
      </c>
      <c r="E220" s="2913"/>
      <c r="F220" s="2913"/>
      <c r="G220" s="1207">
        <v>0</v>
      </c>
      <c r="H220" s="1207"/>
      <c r="I220" s="1207">
        <v>0</v>
      </c>
      <c r="J220" s="1207"/>
      <c r="K220" s="1207">
        <v>0</v>
      </c>
      <c r="L220" s="1207"/>
      <c r="M220" s="1207">
        <f>ROUND(SUM(O220)-SUM(K220),2)</f>
        <v>0</v>
      </c>
      <c r="N220" s="1207"/>
      <c r="O220" s="1207">
        <v>0</v>
      </c>
      <c r="P220" s="2905"/>
      <c r="Q220" s="2898"/>
    </row>
    <row r="221" spans="2:17" s="2885" customFormat="1" ht="15.5">
      <c r="B221" s="2893">
        <v>55006</v>
      </c>
      <c r="C221" s="2928"/>
      <c r="D221" s="2929" t="s">
        <v>675</v>
      </c>
      <c r="E221" s="2913"/>
      <c r="F221" s="2913"/>
      <c r="G221" s="1207">
        <v>24475.439999999999</v>
      </c>
      <c r="H221" s="1207"/>
      <c r="I221" s="1207">
        <v>36672.74</v>
      </c>
      <c r="J221" s="1207"/>
      <c r="K221" s="1207">
        <v>53222.28</v>
      </c>
      <c r="L221" s="1207"/>
      <c r="M221" s="1207">
        <f t="shared" si="21"/>
        <v>3231.31</v>
      </c>
      <c r="N221" s="1207"/>
      <c r="O221" s="1207">
        <v>56453.59</v>
      </c>
      <c r="P221" s="2905"/>
      <c r="Q221" s="2898"/>
    </row>
    <row r="222" spans="2:17" s="2885" customFormat="1" ht="15.5">
      <c r="B222" s="2893">
        <v>55007</v>
      </c>
      <c r="C222" s="2925"/>
      <c r="D222" s="2894" t="s">
        <v>676</v>
      </c>
      <c r="E222" s="2926"/>
      <c r="F222" s="2926"/>
      <c r="G222" s="1207">
        <v>2678600.17</v>
      </c>
      <c r="H222" s="1207"/>
      <c r="I222" s="1207">
        <v>2686693.63</v>
      </c>
      <c r="J222" s="1207"/>
      <c r="K222" s="1207">
        <v>2247705.48</v>
      </c>
      <c r="L222" s="1207"/>
      <c r="M222" s="1207">
        <f t="shared" si="21"/>
        <v>-70561.570000000007</v>
      </c>
      <c r="N222" s="1207"/>
      <c r="O222" s="1207">
        <v>2177143.91</v>
      </c>
      <c r="P222" s="2914"/>
      <c r="Q222" s="2898"/>
    </row>
    <row r="223" spans="2:17" s="2885" customFormat="1" ht="15.5">
      <c r="B223" s="2893">
        <v>55008</v>
      </c>
      <c r="C223" s="2907"/>
      <c r="D223" s="2930" t="s">
        <v>677</v>
      </c>
      <c r="E223" s="2909"/>
      <c r="F223" s="2909"/>
      <c r="G223" s="1207">
        <v>21051905.82</v>
      </c>
      <c r="H223" s="1207"/>
      <c r="I223" s="1207">
        <v>23352048.48</v>
      </c>
      <c r="J223" s="1207"/>
      <c r="K223" s="1207">
        <v>0</v>
      </c>
      <c r="L223" s="1207"/>
      <c r="M223" s="1207">
        <f t="shared" si="21"/>
        <v>0</v>
      </c>
      <c r="N223" s="1207"/>
      <c r="O223" s="1207">
        <v>0</v>
      </c>
      <c r="P223" s="2920"/>
      <c r="Q223" s="2898"/>
    </row>
    <row r="224" spans="2:17" s="2885" customFormat="1" ht="15.5">
      <c r="B224" s="2893">
        <v>55009</v>
      </c>
      <c r="C224" s="2907"/>
      <c r="D224" s="2930" t="s">
        <v>1516</v>
      </c>
      <c r="E224" s="2909"/>
      <c r="F224" s="2909"/>
      <c r="G224" s="1207">
        <v>0</v>
      </c>
      <c r="H224" s="1207"/>
      <c r="I224" s="1207">
        <v>0</v>
      </c>
      <c r="J224" s="1207"/>
      <c r="K224" s="1207">
        <v>0</v>
      </c>
      <c r="L224" s="1207"/>
      <c r="M224" s="1207">
        <f>ROUND(SUM(O224)-SUM(K224),2)</f>
        <v>0</v>
      </c>
      <c r="N224" s="1207"/>
      <c r="O224" s="1207">
        <v>0</v>
      </c>
      <c r="P224" s="2920"/>
      <c r="Q224" s="2898"/>
    </row>
    <row r="225" spans="2:17" s="2885" customFormat="1" ht="15.5">
      <c r="B225" s="2847">
        <v>55010</v>
      </c>
      <c r="C225" s="2907"/>
      <c r="D225" s="2929" t="s">
        <v>888</v>
      </c>
      <c r="E225" s="2909"/>
      <c r="F225" s="2909"/>
      <c r="G225" s="1207">
        <v>18079001.23</v>
      </c>
      <c r="H225" s="1207"/>
      <c r="I225" s="1207">
        <v>15902600.029999999</v>
      </c>
      <c r="J225" s="1207"/>
      <c r="K225" s="1207">
        <v>8473715.6500000004</v>
      </c>
      <c r="L225" s="1207"/>
      <c r="M225" s="1207">
        <f t="shared" si="21"/>
        <v>-1181889.4099999999</v>
      </c>
      <c r="N225" s="1207"/>
      <c r="O225" s="1207">
        <v>7291826.2400000002</v>
      </c>
      <c r="P225" s="2892"/>
      <c r="Q225" s="2898"/>
    </row>
    <row r="226" spans="2:17" s="2885" customFormat="1" ht="15.5">
      <c r="B226" s="2893">
        <v>55011</v>
      </c>
      <c r="C226" s="2925"/>
      <c r="D226" s="2894" t="s">
        <v>678</v>
      </c>
      <c r="E226" s="2926"/>
      <c r="F226" s="2926"/>
      <c r="G226" s="1207">
        <v>5837106.4800000004</v>
      </c>
      <c r="H226" s="1207"/>
      <c r="I226" s="1207">
        <v>5835999.7300000004</v>
      </c>
      <c r="J226" s="1207"/>
      <c r="K226" s="1207">
        <v>5640113.46</v>
      </c>
      <c r="L226" s="1207"/>
      <c r="M226" s="1207">
        <f t="shared" si="21"/>
        <v>-1138812.98</v>
      </c>
      <c r="N226" s="1207"/>
      <c r="O226" s="1207">
        <v>4501300.4800000004</v>
      </c>
      <c r="P226" s="2905"/>
      <c r="Q226" s="2898"/>
    </row>
    <row r="227" spans="2:17" s="2885" customFormat="1" ht="15.5">
      <c r="B227" s="2893">
        <v>55012</v>
      </c>
      <c r="C227" s="2907"/>
      <c r="D227" s="2908" t="s">
        <v>679</v>
      </c>
      <c r="E227" s="2909"/>
      <c r="F227" s="2909"/>
      <c r="G227" s="1207">
        <v>166164.29999999999</v>
      </c>
      <c r="H227" s="1207"/>
      <c r="I227" s="1207">
        <v>159500.71</v>
      </c>
      <c r="J227" s="1207"/>
      <c r="K227" s="1207">
        <v>166190.71</v>
      </c>
      <c r="L227" s="1207"/>
      <c r="M227" s="1207">
        <f t="shared" si="21"/>
        <v>-3575</v>
      </c>
      <c r="N227" s="1207"/>
      <c r="O227" s="1207">
        <v>162615.71</v>
      </c>
      <c r="P227" s="2905"/>
      <c r="Q227" s="2898"/>
    </row>
    <row r="228" spans="2:17" s="2885" customFormat="1" ht="15.5">
      <c r="B228" s="2893">
        <v>55013</v>
      </c>
      <c r="C228" s="2907"/>
      <c r="D228" s="2908" t="s">
        <v>1517</v>
      </c>
      <c r="E228" s="2909"/>
      <c r="F228" s="2909"/>
      <c r="G228" s="1207">
        <v>0</v>
      </c>
      <c r="H228" s="1207"/>
      <c r="I228" s="1207">
        <v>0</v>
      </c>
      <c r="J228" s="1207"/>
      <c r="K228" s="1207">
        <v>0</v>
      </c>
      <c r="L228" s="1207"/>
      <c r="M228" s="1207">
        <f>ROUND(SUM(O228)-SUM(K228),2)</f>
        <v>0</v>
      </c>
      <c r="N228" s="1207"/>
      <c r="O228" s="1207">
        <v>0</v>
      </c>
      <c r="P228" s="2905"/>
      <c r="Q228" s="2898"/>
    </row>
    <row r="229" spans="2:17" s="2885" customFormat="1" ht="15.5">
      <c r="B229" s="2893">
        <v>55014</v>
      </c>
      <c r="C229" s="2907"/>
      <c r="D229" s="2908" t="s">
        <v>1518</v>
      </c>
      <c r="E229" s="2909"/>
      <c r="F229" s="2909"/>
      <c r="G229" s="1207">
        <v>0</v>
      </c>
      <c r="H229" s="1207"/>
      <c r="I229" s="1207">
        <v>0</v>
      </c>
      <c r="J229" s="1207"/>
      <c r="K229" s="1207">
        <v>0</v>
      </c>
      <c r="L229" s="1207"/>
      <c r="M229" s="1207">
        <f>ROUND(SUM(O229)-SUM(K229),2)</f>
        <v>0</v>
      </c>
      <c r="N229" s="1207"/>
      <c r="O229" s="1207">
        <v>0</v>
      </c>
      <c r="P229" s="2905"/>
      <c r="Q229" s="2898"/>
    </row>
    <row r="230" spans="2:17" s="2885" customFormat="1" ht="15.5">
      <c r="B230" s="2893">
        <v>55015</v>
      </c>
      <c r="C230" s="2907"/>
      <c r="D230" s="2908" t="s">
        <v>1519</v>
      </c>
      <c r="E230" s="2909"/>
      <c r="F230" s="2909"/>
      <c r="G230" s="1207">
        <v>0</v>
      </c>
      <c r="H230" s="1207"/>
      <c r="I230" s="1207">
        <v>0</v>
      </c>
      <c r="J230" s="1207"/>
      <c r="K230" s="1207">
        <v>0</v>
      </c>
      <c r="L230" s="1207"/>
      <c r="M230" s="1207">
        <f>ROUND(SUM(O230)-SUM(K230),2)</f>
        <v>0</v>
      </c>
      <c r="N230" s="1207"/>
      <c r="O230" s="1207">
        <v>0</v>
      </c>
      <c r="P230" s="2905"/>
      <c r="Q230" s="2898"/>
    </row>
    <row r="231" spans="2:17" s="2885" customFormat="1" ht="15.5">
      <c r="B231" s="2893">
        <v>55016</v>
      </c>
      <c r="C231" s="2907"/>
      <c r="D231" s="2927" t="s">
        <v>680</v>
      </c>
      <c r="E231" s="2909"/>
      <c r="F231" s="2909"/>
      <c r="G231" s="1207">
        <v>1919964.31</v>
      </c>
      <c r="H231" s="1207"/>
      <c r="I231" s="1207">
        <v>1914901.23</v>
      </c>
      <c r="J231" s="1207"/>
      <c r="K231" s="1207">
        <v>1382226.22</v>
      </c>
      <c r="L231" s="1207"/>
      <c r="M231" s="1207">
        <f t="shared" si="21"/>
        <v>-225643.51999999999</v>
      </c>
      <c r="N231" s="1207"/>
      <c r="O231" s="1207">
        <v>1156582.7</v>
      </c>
      <c r="P231" s="2905"/>
      <c r="Q231" s="2898"/>
    </row>
    <row r="232" spans="2:17" s="2885" customFormat="1" ht="15.5">
      <c r="B232" s="2893">
        <v>55017</v>
      </c>
      <c r="C232" s="2907"/>
      <c r="D232" s="2927" t="s">
        <v>681</v>
      </c>
      <c r="E232" s="2909"/>
      <c r="F232" s="2909"/>
      <c r="G232" s="1207">
        <v>38884.11</v>
      </c>
      <c r="H232" s="1207"/>
      <c r="I232" s="1207">
        <v>148749.75</v>
      </c>
      <c r="J232" s="1207"/>
      <c r="K232" s="1207">
        <v>421903.79</v>
      </c>
      <c r="L232" s="1207"/>
      <c r="M232" s="1207">
        <f t="shared" si="21"/>
        <v>-94250.3</v>
      </c>
      <c r="N232" s="1207"/>
      <c r="O232" s="1207">
        <v>327653.49</v>
      </c>
      <c r="P232" s="2905"/>
      <c r="Q232" s="2898"/>
    </row>
    <row r="233" spans="2:17" s="2885" customFormat="1" ht="15.5">
      <c r="B233" s="2893">
        <v>55018</v>
      </c>
      <c r="C233" s="2907"/>
      <c r="D233" s="2927" t="s">
        <v>1520</v>
      </c>
      <c r="E233" s="2909"/>
      <c r="F233" s="2909"/>
      <c r="G233" s="1207">
        <v>0</v>
      </c>
      <c r="H233" s="1207"/>
      <c r="I233" s="1207">
        <v>0</v>
      </c>
      <c r="J233" s="1207"/>
      <c r="K233" s="1207">
        <v>0</v>
      </c>
      <c r="L233" s="1207"/>
      <c r="M233" s="1207">
        <f>ROUND(SUM(O233)-SUM(K233),2)</f>
        <v>0</v>
      </c>
      <c r="N233" s="1207"/>
      <c r="O233" s="1207">
        <v>0</v>
      </c>
      <c r="P233" s="2905"/>
      <c r="Q233" s="2898"/>
    </row>
    <row r="234" spans="2:17" s="2885" customFormat="1" ht="15.5">
      <c r="B234" s="2893">
        <v>55019</v>
      </c>
      <c r="C234" s="2907"/>
      <c r="D234" s="2927" t="s">
        <v>1521</v>
      </c>
      <c r="E234" s="2909"/>
      <c r="F234" s="2909"/>
      <c r="G234" s="1207">
        <v>0</v>
      </c>
      <c r="H234" s="1207"/>
      <c r="I234" s="1207">
        <v>0</v>
      </c>
      <c r="J234" s="1207"/>
      <c r="K234" s="1207">
        <v>0</v>
      </c>
      <c r="L234" s="1207"/>
      <c r="M234" s="1207">
        <f>ROUND(SUM(O234)-SUM(K234),2)</f>
        <v>0</v>
      </c>
      <c r="N234" s="1207"/>
      <c r="O234" s="1207">
        <v>0</v>
      </c>
      <c r="P234" s="2905"/>
      <c r="Q234" s="2898"/>
    </row>
    <row r="235" spans="2:17" s="2885" customFormat="1" ht="15.5">
      <c r="B235" s="2893">
        <v>55020</v>
      </c>
      <c r="C235" s="2907"/>
      <c r="D235" s="2927" t="s">
        <v>682</v>
      </c>
      <c r="E235" s="2909"/>
      <c r="F235" s="2909"/>
      <c r="G235" s="1207">
        <v>91664939.290000007</v>
      </c>
      <c r="H235" s="1207"/>
      <c r="I235" s="1207">
        <v>90884212.129999995</v>
      </c>
      <c r="J235" s="1207"/>
      <c r="K235" s="1207">
        <v>73938006.680000007</v>
      </c>
      <c r="L235" s="1207"/>
      <c r="M235" s="1207">
        <f t="shared" si="21"/>
        <v>-195056.04</v>
      </c>
      <c r="N235" s="1207"/>
      <c r="O235" s="1207">
        <v>73742950.640000001</v>
      </c>
      <c r="P235" s="2905"/>
      <c r="Q235" s="2898"/>
    </row>
    <row r="236" spans="2:17" s="2885" customFormat="1" ht="15.5">
      <c r="B236" s="2893">
        <v>55021</v>
      </c>
      <c r="C236" s="2907"/>
      <c r="D236" s="2927" t="s">
        <v>683</v>
      </c>
      <c r="E236" s="2909"/>
      <c r="F236" s="2909"/>
      <c r="G236" s="1207">
        <v>11558290.640000001</v>
      </c>
      <c r="H236" s="1207"/>
      <c r="I236" s="1207">
        <v>11802755.130000001</v>
      </c>
      <c r="J236" s="1207"/>
      <c r="K236" s="1207">
        <v>11910214.539999999</v>
      </c>
      <c r="L236" s="1207"/>
      <c r="M236" s="1207">
        <f t="shared" si="21"/>
        <v>187337.38</v>
      </c>
      <c r="N236" s="1207"/>
      <c r="O236" s="1207">
        <v>12097551.92</v>
      </c>
      <c r="P236" s="2905"/>
      <c r="Q236" s="2898"/>
    </row>
    <row r="237" spans="2:17" s="2885" customFormat="1" ht="15.5">
      <c r="B237" s="2893">
        <v>55022</v>
      </c>
      <c r="C237" s="2907"/>
      <c r="D237" s="2908" t="s">
        <v>684</v>
      </c>
      <c r="E237" s="2909"/>
      <c r="F237" s="2909"/>
      <c r="G237" s="1207">
        <v>26230837.210000001</v>
      </c>
      <c r="H237" s="1207"/>
      <c r="I237" s="1207">
        <v>28417248.079999998</v>
      </c>
      <c r="J237" s="1207"/>
      <c r="K237" s="1207">
        <v>31650237.510000002</v>
      </c>
      <c r="L237" s="1207"/>
      <c r="M237" s="1207">
        <f t="shared" si="21"/>
        <v>1980905.72</v>
      </c>
      <c r="N237" s="1207"/>
      <c r="O237" s="1207">
        <v>33631143.229999997</v>
      </c>
      <c r="P237" s="2905"/>
      <c r="Q237" s="2898"/>
    </row>
    <row r="238" spans="2:17" s="2885" customFormat="1" ht="15.5">
      <c r="B238" s="2893">
        <v>55052</v>
      </c>
      <c r="C238" s="2907"/>
      <c r="D238" s="2908" t="s">
        <v>685</v>
      </c>
      <c r="E238" s="2909"/>
      <c r="F238" s="2909"/>
      <c r="G238" s="1207">
        <v>65304.11</v>
      </c>
      <c r="H238" s="1207"/>
      <c r="I238" s="1207">
        <v>70832.990000000005</v>
      </c>
      <c r="J238" s="1207"/>
      <c r="K238" s="1207">
        <v>0</v>
      </c>
      <c r="L238" s="1207"/>
      <c r="M238" s="1207">
        <f t="shared" si="21"/>
        <v>0</v>
      </c>
      <c r="N238" s="1207"/>
      <c r="O238" s="1207">
        <v>0</v>
      </c>
      <c r="P238" s="2905"/>
      <c r="Q238" s="2898"/>
    </row>
    <row r="239" spans="2:17" s="2885" customFormat="1" ht="15.5">
      <c r="B239" s="2893">
        <v>55053</v>
      </c>
      <c r="C239" s="2907"/>
      <c r="D239" s="2927" t="s">
        <v>686</v>
      </c>
      <c r="E239" s="2909"/>
      <c r="F239" s="2909"/>
      <c r="G239" s="1207">
        <v>0</v>
      </c>
      <c r="H239" s="1207"/>
      <c r="I239" s="1207">
        <v>0</v>
      </c>
      <c r="J239" s="1207"/>
      <c r="K239" s="1207">
        <v>0</v>
      </c>
      <c r="L239" s="1207"/>
      <c r="M239" s="1207">
        <f t="shared" si="21"/>
        <v>0</v>
      </c>
      <c r="N239" s="1207"/>
      <c r="O239" s="1207">
        <v>0</v>
      </c>
      <c r="P239" s="2905"/>
      <c r="Q239" s="2898"/>
    </row>
    <row r="240" spans="2:17" s="2885" customFormat="1" ht="15.5">
      <c r="B240" s="3886">
        <v>55055</v>
      </c>
      <c r="C240" s="3887"/>
      <c r="D240" s="3888" t="s">
        <v>1442</v>
      </c>
      <c r="E240" s="2909"/>
      <c r="F240" s="2909"/>
      <c r="G240" s="1207">
        <v>0</v>
      </c>
      <c r="H240" s="1207"/>
      <c r="I240" s="1207">
        <v>0</v>
      </c>
      <c r="J240" s="1207"/>
      <c r="K240" s="1207">
        <v>0</v>
      </c>
      <c r="L240" s="1207"/>
      <c r="M240" s="1207">
        <f t="shared" ref="M240" si="22">ROUND(SUM(O240)-SUM(K240),2)</f>
        <v>0</v>
      </c>
      <c r="N240" s="1207"/>
      <c r="O240" s="1207">
        <v>0</v>
      </c>
      <c r="P240" s="2905"/>
      <c r="Q240" s="2898"/>
    </row>
    <row r="241" spans="2:17" s="2885" customFormat="1" ht="15.5">
      <c r="B241" s="2893">
        <v>55056</v>
      </c>
      <c r="C241" s="2907"/>
      <c r="D241" s="2927" t="s">
        <v>687</v>
      </c>
      <c r="E241" s="2909"/>
      <c r="F241" s="2909"/>
      <c r="G241" s="1207">
        <v>0</v>
      </c>
      <c r="H241" s="1207"/>
      <c r="I241" s="1207">
        <v>0</v>
      </c>
      <c r="J241" s="1207"/>
      <c r="K241" s="1207">
        <v>0</v>
      </c>
      <c r="L241" s="1207"/>
      <c r="M241" s="1207">
        <f t="shared" si="21"/>
        <v>0</v>
      </c>
      <c r="N241" s="1207"/>
      <c r="O241" s="1207">
        <v>0</v>
      </c>
      <c r="P241" s="2905"/>
      <c r="Q241" s="2898"/>
    </row>
    <row r="242" spans="2:17" s="2885" customFormat="1" ht="15.5">
      <c r="B242" s="2893">
        <v>55057</v>
      </c>
      <c r="C242" s="2907"/>
      <c r="D242" s="2927" t="s">
        <v>688</v>
      </c>
      <c r="E242" s="2909"/>
      <c r="F242" s="2909"/>
      <c r="G242" s="1207">
        <v>38305.449999999997</v>
      </c>
      <c r="H242" s="1207"/>
      <c r="I242" s="1207">
        <v>219069.09</v>
      </c>
      <c r="J242" s="1207"/>
      <c r="K242" s="1207">
        <v>0</v>
      </c>
      <c r="L242" s="1207"/>
      <c r="M242" s="1207">
        <f t="shared" si="21"/>
        <v>727271.32</v>
      </c>
      <c r="N242" s="1207"/>
      <c r="O242" s="1207">
        <v>727271.32</v>
      </c>
      <c r="P242" s="2905"/>
      <c r="Q242" s="2898"/>
    </row>
    <row r="243" spans="2:17" s="2885" customFormat="1" ht="15.5">
      <c r="B243" s="2893">
        <v>55058</v>
      </c>
      <c r="C243" s="2907"/>
      <c r="D243" s="2927" t="s">
        <v>689</v>
      </c>
      <c r="E243" s="2909"/>
      <c r="F243" s="2909"/>
      <c r="G243" s="1207">
        <v>2963159.31</v>
      </c>
      <c r="H243" s="1207"/>
      <c r="I243" s="1207">
        <v>3203884.65</v>
      </c>
      <c r="J243" s="1207"/>
      <c r="K243" s="1207">
        <v>3482424.24</v>
      </c>
      <c r="L243" s="1207"/>
      <c r="M243" s="1207">
        <f t="shared" si="21"/>
        <v>253686.23</v>
      </c>
      <c r="N243" s="1207"/>
      <c r="O243" s="1207">
        <v>3736110.47</v>
      </c>
      <c r="P243" s="2905"/>
      <c r="Q243" s="2898"/>
    </row>
    <row r="244" spans="2:17" s="2885" customFormat="1" ht="15.5">
      <c r="B244" s="2893">
        <v>55059</v>
      </c>
      <c r="C244" s="2907"/>
      <c r="D244" s="2929" t="s">
        <v>1176</v>
      </c>
      <c r="E244" s="2909"/>
      <c r="F244" s="2909"/>
      <c r="G244" s="1207">
        <v>11588001.33</v>
      </c>
      <c r="H244" s="1207"/>
      <c r="I244" s="1207">
        <v>11930124.189999999</v>
      </c>
      <c r="J244" s="1207"/>
      <c r="K244" s="1207">
        <v>11370586.210000001</v>
      </c>
      <c r="L244" s="1207"/>
      <c r="M244" s="1207">
        <f t="shared" ref="M244" si="23">ROUND(SUM(O244)-SUM(K244),2)</f>
        <v>280861.63</v>
      </c>
      <c r="N244" s="1207"/>
      <c r="O244" s="1207">
        <v>11651447.84</v>
      </c>
      <c r="P244" s="2905"/>
      <c r="Q244" s="2898"/>
    </row>
    <row r="245" spans="2:17" s="2885" customFormat="1" ht="15.5">
      <c r="B245" s="2893">
        <v>55060</v>
      </c>
      <c r="C245" s="2907"/>
      <c r="D245" s="2908" t="s">
        <v>690</v>
      </c>
      <c r="E245" s="2909"/>
      <c r="F245" s="2909"/>
      <c r="G245" s="1207">
        <v>3722315.71</v>
      </c>
      <c r="H245" s="1207"/>
      <c r="I245" s="1207">
        <v>710657.18</v>
      </c>
      <c r="J245" s="1207"/>
      <c r="K245" s="1207">
        <v>0</v>
      </c>
      <c r="L245" s="1207"/>
      <c r="M245" s="1207">
        <f t="shared" si="21"/>
        <v>1124459.6200000001</v>
      </c>
      <c r="N245" s="1207"/>
      <c r="O245" s="1207">
        <v>1124459.6200000001</v>
      </c>
      <c r="P245" s="2905"/>
      <c r="Q245" s="2898"/>
    </row>
    <row r="246" spans="2:17" s="2885" customFormat="1" ht="15.5">
      <c r="B246" s="2893">
        <v>55061</v>
      </c>
      <c r="C246" s="2907"/>
      <c r="D246" s="2908" t="s">
        <v>691</v>
      </c>
      <c r="E246" s="2909"/>
      <c r="F246" s="2909"/>
      <c r="G246" s="1207">
        <v>0</v>
      </c>
      <c r="H246" s="1207"/>
      <c r="I246" s="1207">
        <v>0</v>
      </c>
      <c r="J246" s="1207"/>
      <c r="K246" s="1207">
        <v>0</v>
      </c>
      <c r="L246" s="1207"/>
      <c r="M246" s="1207">
        <f t="shared" si="21"/>
        <v>0</v>
      </c>
      <c r="N246" s="1207"/>
      <c r="O246" s="1207">
        <v>0</v>
      </c>
      <c r="P246" s="2905"/>
      <c r="Q246" s="2898"/>
    </row>
    <row r="247" spans="2:17" s="2885" customFormat="1" ht="15.5">
      <c r="B247" s="2893">
        <v>55062</v>
      </c>
      <c r="C247" s="2907"/>
      <c r="D247" s="2927" t="s">
        <v>692</v>
      </c>
      <c r="E247" s="2909"/>
      <c r="F247" s="2909"/>
      <c r="G247" s="1207">
        <v>50058692.950000003</v>
      </c>
      <c r="H247" s="1207"/>
      <c r="I247" s="1207">
        <v>51819133.859999999</v>
      </c>
      <c r="J247" s="1207"/>
      <c r="K247" s="1207">
        <v>91579457.260000005</v>
      </c>
      <c r="L247" s="1207"/>
      <c r="M247" s="1207">
        <f t="shared" si="21"/>
        <v>0</v>
      </c>
      <c r="N247" s="1207"/>
      <c r="O247" s="1207">
        <v>91579457.260000005</v>
      </c>
      <c r="P247" s="2905"/>
      <c r="Q247" s="2898"/>
    </row>
    <row r="248" spans="2:17" s="2885" customFormat="1" ht="15.5">
      <c r="B248" s="2893">
        <v>55066</v>
      </c>
      <c r="C248" s="2907"/>
      <c r="D248" s="2927" t="s">
        <v>693</v>
      </c>
      <c r="E248" s="2909"/>
      <c r="F248" s="2909"/>
      <c r="G248" s="1207">
        <v>1261584.27</v>
      </c>
      <c r="H248" s="1207"/>
      <c r="I248" s="1207">
        <v>1261584.27</v>
      </c>
      <c r="J248" s="1207"/>
      <c r="K248" s="1207">
        <v>1261584.27</v>
      </c>
      <c r="L248" s="1207"/>
      <c r="M248" s="1207">
        <f t="shared" si="21"/>
        <v>0</v>
      </c>
      <c r="N248" s="1207"/>
      <c r="O248" s="1207">
        <v>1261584.27</v>
      </c>
      <c r="P248" s="2905"/>
      <c r="Q248" s="2898"/>
    </row>
    <row r="249" spans="2:17" s="2885" customFormat="1" ht="15.5">
      <c r="B249" s="2893">
        <v>55067</v>
      </c>
      <c r="C249" s="2907"/>
      <c r="D249" s="2927" t="s">
        <v>694</v>
      </c>
      <c r="E249" s="2909"/>
      <c r="F249" s="2909"/>
      <c r="G249" s="1207">
        <v>249787.03</v>
      </c>
      <c r="H249" s="1207"/>
      <c r="I249" s="1207">
        <v>276765.63</v>
      </c>
      <c r="J249" s="1207"/>
      <c r="K249" s="1207">
        <v>98656.34</v>
      </c>
      <c r="L249" s="1207"/>
      <c r="M249" s="1207">
        <f t="shared" si="21"/>
        <v>24753.71</v>
      </c>
      <c r="N249" s="1207"/>
      <c r="O249" s="1207">
        <v>123410.05</v>
      </c>
      <c r="P249" s="2905"/>
      <c r="Q249" s="2898"/>
    </row>
    <row r="250" spans="2:17" s="2885" customFormat="1" ht="15.5">
      <c r="B250" s="2893">
        <v>55069</v>
      </c>
      <c r="C250" s="2907"/>
      <c r="D250" s="2927" t="s">
        <v>695</v>
      </c>
      <c r="E250" s="2909"/>
      <c r="F250" s="2909"/>
      <c r="G250" s="1207">
        <v>76564331.5</v>
      </c>
      <c r="H250" s="1207"/>
      <c r="I250" s="1207">
        <v>84201124.129999995</v>
      </c>
      <c r="J250" s="1207"/>
      <c r="K250" s="1207">
        <v>93610109.180000007</v>
      </c>
      <c r="L250" s="1207"/>
      <c r="M250" s="1207">
        <f t="shared" si="21"/>
        <v>14124663.51</v>
      </c>
      <c r="N250" s="1207"/>
      <c r="O250" s="1207">
        <v>107734772.69</v>
      </c>
      <c r="P250" s="2905"/>
      <c r="Q250" s="2898"/>
    </row>
    <row r="251" spans="2:17" s="2885" customFormat="1" ht="15.5">
      <c r="B251" s="2931">
        <v>55071</v>
      </c>
      <c r="C251" s="2907"/>
      <c r="D251" s="2927" t="s">
        <v>867</v>
      </c>
      <c r="E251" s="2909"/>
      <c r="F251" s="2909"/>
      <c r="G251" s="1207">
        <v>4277327.2300000004</v>
      </c>
      <c r="H251" s="1207"/>
      <c r="I251" s="1207">
        <v>1331867.2</v>
      </c>
      <c r="J251" s="1207"/>
      <c r="K251" s="1207">
        <v>1506512.53</v>
      </c>
      <c r="L251" s="1207"/>
      <c r="M251" s="1207">
        <f t="shared" si="21"/>
        <v>85206.5</v>
      </c>
      <c r="N251" s="1207"/>
      <c r="O251" s="1207">
        <v>1591719.03</v>
      </c>
      <c r="P251" s="2905"/>
      <c r="Q251" s="2898"/>
    </row>
    <row r="252" spans="2:17" s="2885" customFormat="1" ht="15.5">
      <c r="B252" s="2893">
        <v>55072</v>
      </c>
      <c r="C252" s="2907"/>
      <c r="D252" s="2927" t="s">
        <v>868</v>
      </c>
      <c r="E252" s="2909"/>
      <c r="F252" s="2909"/>
      <c r="G252" s="1207">
        <v>4122584.84</v>
      </c>
      <c r="H252" s="1207"/>
      <c r="I252" s="1207">
        <v>5797025.9699999997</v>
      </c>
      <c r="J252" s="1207"/>
      <c r="K252" s="1207">
        <v>3327243.37</v>
      </c>
      <c r="L252" s="1207"/>
      <c r="M252" s="1207">
        <f t="shared" si="21"/>
        <v>578638.84</v>
      </c>
      <c r="N252" s="1207"/>
      <c r="O252" s="1207">
        <v>3905882.21</v>
      </c>
      <c r="P252" s="2905"/>
      <c r="Q252" s="2898"/>
    </row>
    <row r="253" spans="2:17" s="2885" customFormat="1" ht="15.5">
      <c r="B253" s="2931">
        <v>55073</v>
      </c>
      <c r="C253" s="2907"/>
      <c r="D253" s="2927" t="s">
        <v>869</v>
      </c>
      <c r="E253" s="2909"/>
      <c r="F253" s="2909"/>
      <c r="G253" s="1207">
        <v>0</v>
      </c>
      <c r="H253" s="1207"/>
      <c r="I253" s="1207">
        <v>0</v>
      </c>
      <c r="J253" s="1207"/>
      <c r="K253" s="1207">
        <v>0</v>
      </c>
      <c r="L253" s="1207"/>
      <c r="M253" s="1207">
        <f t="shared" si="21"/>
        <v>0</v>
      </c>
      <c r="N253" s="1207"/>
      <c r="O253" s="1207">
        <v>0</v>
      </c>
      <c r="P253" s="2905"/>
      <c r="Q253" s="2898"/>
    </row>
    <row r="254" spans="2:17" s="2885" customFormat="1" ht="15.5">
      <c r="B254" s="2931">
        <v>55074</v>
      </c>
      <c r="C254" s="2907"/>
      <c r="D254" s="2927" t="s">
        <v>1211</v>
      </c>
      <c r="E254" s="2909"/>
      <c r="F254" s="2909"/>
      <c r="G254" s="1207">
        <v>2668281.4500000002</v>
      </c>
      <c r="H254" s="1207"/>
      <c r="I254" s="1207">
        <v>3383833.21</v>
      </c>
      <c r="J254" s="1207"/>
      <c r="K254" s="1207">
        <v>3178989.26</v>
      </c>
      <c r="L254" s="1207"/>
      <c r="M254" s="1207">
        <f t="shared" ref="M254" si="24">ROUND(SUM(O254)-SUM(K254),2)</f>
        <v>-3178989.26</v>
      </c>
      <c r="N254" s="1207"/>
      <c r="O254" s="1207">
        <v>0</v>
      </c>
      <c r="P254" s="2905"/>
      <c r="Q254" s="2898"/>
    </row>
    <row r="255" spans="2:17" s="2885" customFormat="1" ht="15.5">
      <c r="B255" s="2893">
        <v>55251</v>
      </c>
      <c r="C255" s="2907"/>
      <c r="D255" s="2908" t="s">
        <v>696</v>
      </c>
      <c r="E255" s="2909"/>
      <c r="F255" s="2909"/>
      <c r="G255" s="1207">
        <v>11268754.689999999</v>
      </c>
      <c r="H255" s="1207"/>
      <c r="I255" s="1207">
        <v>11495238.52</v>
      </c>
      <c r="J255" s="1207"/>
      <c r="K255" s="1207">
        <v>8774839.0099999998</v>
      </c>
      <c r="L255" s="1207"/>
      <c r="M255" s="1207">
        <f t="shared" si="21"/>
        <v>175734.48</v>
      </c>
      <c r="N255" s="1207"/>
      <c r="O255" s="1207">
        <v>8950573.4900000002</v>
      </c>
      <c r="P255" s="2905"/>
      <c r="Q255" s="2898"/>
    </row>
    <row r="256" spans="2:17" s="2885" customFormat="1" ht="15.5">
      <c r="B256" s="2893">
        <v>55252</v>
      </c>
      <c r="C256" s="2907"/>
      <c r="D256" s="2927" t="s">
        <v>697</v>
      </c>
      <c r="E256" s="2909"/>
      <c r="F256" s="2909"/>
      <c r="G256" s="1207">
        <v>45329606.219999999</v>
      </c>
      <c r="H256" s="1207"/>
      <c r="I256" s="1207">
        <v>48873335.020000003</v>
      </c>
      <c r="J256" s="1207"/>
      <c r="K256" s="1207">
        <v>31710860.420000002</v>
      </c>
      <c r="L256" s="1207"/>
      <c r="M256" s="1207">
        <f t="shared" si="21"/>
        <v>1614826.83</v>
      </c>
      <c r="N256" s="1207"/>
      <c r="O256" s="1207">
        <v>33325687.25</v>
      </c>
      <c r="P256" s="2905"/>
      <c r="Q256" s="2898"/>
    </row>
    <row r="257" spans="2:17" s="2885" customFormat="1" ht="15.5">
      <c r="B257" s="2893">
        <v>55300</v>
      </c>
      <c r="C257" s="2907"/>
      <c r="D257" s="2908" t="s">
        <v>698</v>
      </c>
      <c r="E257" s="2909"/>
      <c r="F257" s="2909"/>
      <c r="G257" s="1207">
        <v>3797831.95</v>
      </c>
      <c r="H257" s="1207"/>
      <c r="I257" s="1207">
        <v>4815234.2699999996</v>
      </c>
      <c r="J257" s="1207"/>
      <c r="K257" s="1207">
        <v>6244995.4800000004</v>
      </c>
      <c r="L257" s="1207"/>
      <c r="M257" s="1207">
        <f t="shared" si="21"/>
        <v>962263.45</v>
      </c>
      <c r="N257" s="1207"/>
      <c r="O257" s="1207">
        <v>7207258.9299999997</v>
      </c>
      <c r="P257" s="2905"/>
      <c r="Q257" s="2898"/>
    </row>
    <row r="258" spans="2:17" s="2885" customFormat="1" ht="15.5">
      <c r="B258" s="2893">
        <v>55301</v>
      </c>
      <c r="C258" s="2907"/>
      <c r="D258" s="2908" t="s">
        <v>699</v>
      </c>
      <c r="E258" s="2909"/>
      <c r="F258" s="2909"/>
      <c r="G258" s="1207">
        <v>5076503.25</v>
      </c>
      <c r="H258" s="1207"/>
      <c r="I258" s="1207">
        <v>6800405.0099999998</v>
      </c>
      <c r="J258" s="1207"/>
      <c r="K258" s="1207">
        <v>6873883.9299999997</v>
      </c>
      <c r="L258" s="1207"/>
      <c r="M258" s="1207">
        <f t="shared" si="21"/>
        <v>59280.9</v>
      </c>
      <c r="N258" s="1207"/>
      <c r="O258" s="1207">
        <v>6933164.8300000001</v>
      </c>
      <c r="P258" s="2905"/>
      <c r="Q258" s="2898"/>
    </row>
    <row r="259" spans="2:17" s="2885" customFormat="1" ht="15.5">
      <c r="B259" s="2893">
        <v>55350</v>
      </c>
      <c r="C259" s="2917"/>
      <c r="D259" s="2908" t="s">
        <v>700</v>
      </c>
      <c r="E259" s="2892"/>
      <c r="F259" s="2892"/>
      <c r="G259" s="1207">
        <v>50743022.719999999</v>
      </c>
      <c r="H259" s="1207"/>
      <c r="I259" s="1207">
        <v>51897788.460000001</v>
      </c>
      <c r="J259" s="1207"/>
      <c r="K259" s="1207">
        <v>32577741.510000002</v>
      </c>
      <c r="L259" s="1207"/>
      <c r="M259" s="1207">
        <f t="shared" si="21"/>
        <v>661443.43000000005</v>
      </c>
      <c r="N259" s="1207"/>
      <c r="O259" s="1207">
        <v>33239184.940000001</v>
      </c>
      <c r="P259" s="2905"/>
      <c r="Q259" s="2898"/>
    </row>
    <row r="260" spans="2:17" s="2885" customFormat="1" ht="16" thickBot="1">
      <c r="B260" s="2953"/>
      <c r="C260" s="2887"/>
      <c r="D260" s="2888" t="s">
        <v>701</v>
      </c>
      <c r="E260" s="2889"/>
      <c r="F260" s="2889"/>
      <c r="G260" s="1574">
        <f>ROUND(SUM(G216:G259),2)</f>
        <v>454595940.75</v>
      </c>
      <c r="H260" s="1463"/>
      <c r="I260" s="1574">
        <f>ROUND(SUM(I216:I259),2)</f>
        <v>470886641.79000002</v>
      </c>
      <c r="J260" s="1463"/>
      <c r="K260" s="1574">
        <f>ROUND(SUM(K216:K259),2)</f>
        <v>432497992.24000001</v>
      </c>
      <c r="L260" s="1463"/>
      <c r="M260" s="1209">
        <f>ROUND(SUM(M216:M259),2)</f>
        <v>16495828.32</v>
      </c>
      <c r="N260" s="1463"/>
      <c r="O260" s="1574">
        <f>ROUND(SUM(O216:O259),2)</f>
        <v>448993820.56</v>
      </c>
      <c r="P260" s="2905"/>
      <c r="Q260" s="2898"/>
    </row>
    <row r="261" spans="2:17" s="2885" customFormat="1" ht="16" thickTop="1">
      <c r="B261" s="2932"/>
      <c r="C261" s="2917"/>
      <c r="D261" s="2954"/>
      <c r="E261" s="2892"/>
      <c r="F261" s="2892"/>
      <c r="G261" s="1207"/>
      <c r="H261" s="2923"/>
      <c r="I261" s="1207"/>
      <c r="J261" s="2923"/>
      <c r="K261" s="1207"/>
      <c r="L261" s="2923"/>
      <c r="M261" s="1207"/>
      <c r="N261" s="2923"/>
      <c r="O261" s="1207"/>
      <c r="P261" s="2905"/>
      <c r="Q261" s="2898"/>
    </row>
    <row r="262" spans="2:17" s="2885" customFormat="1" ht="16" thickBot="1">
      <c r="B262" s="2932"/>
      <c r="C262" s="2917"/>
      <c r="D262" s="2954"/>
      <c r="E262" s="2892"/>
      <c r="F262" s="2892"/>
      <c r="G262" s="1207"/>
      <c r="H262" s="2923"/>
      <c r="I262" s="1207"/>
      <c r="J262" s="2923"/>
      <c r="K262" s="1207"/>
      <c r="L262" s="2923"/>
      <c r="M262" s="1207"/>
      <c r="N262" s="2923"/>
      <c r="O262" s="1207"/>
      <c r="P262" s="2905"/>
      <c r="Q262" s="2898"/>
    </row>
    <row r="263" spans="2:17" s="2885" customFormat="1" ht="16" thickBot="1">
      <c r="B263" s="2953"/>
      <c r="C263" s="2955"/>
      <c r="D263" s="2956" t="s">
        <v>702</v>
      </c>
      <c r="E263" s="2889"/>
      <c r="F263" s="2957"/>
      <c r="G263" s="1575">
        <f>ROUND(SUM(G11+G102+G189+G203+G208+G213+G260),2)</f>
        <v>5460817047.8000002</v>
      </c>
      <c r="H263" s="1465"/>
      <c r="I263" s="1575">
        <f>ROUND(SUM(I11+I102+I189+I203+I208+I213+I260),2)</f>
        <v>5702773191.7799997</v>
      </c>
      <c r="J263" s="1465"/>
      <c r="K263" s="1575">
        <f>ROUND(SUM(K11+K102+K189+K203+K208+K213+K260),2)</f>
        <v>5840052471.2399998</v>
      </c>
      <c r="L263" s="1465"/>
      <c r="M263" s="1464">
        <f>ROUND(SUM(M11+M102+M189+M203+M208+M213+M260),2)</f>
        <v>540736398.30999994</v>
      </c>
      <c r="N263" s="1465"/>
      <c r="O263" s="1575">
        <f>ROUND(SUM(O11+O102+O189+O203+O208+O213+O260),2)</f>
        <v>6380788869.5500002</v>
      </c>
      <c r="P263" s="2905"/>
      <c r="Q263" s="2898"/>
    </row>
    <row r="264" spans="2:17" s="2885" customFormat="1" ht="15.5">
      <c r="B264" s="2932"/>
      <c r="C264" s="2917"/>
      <c r="D264" s="2954"/>
      <c r="E264" s="2892"/>
      <c r="F264" s="2892"/>
      <c r="G264" s="2520"/>
      <c r="H264" s="1480"/>
      <c r="I264" s="1208"/>
      <c r="J264" s="1480"/>
      <c r="K264" s="1208"/>
      <c r="L264" s="1480"/>
      <c r="M264" s="1211"/>
      <c r="N264" s="2917"/>
      <c r="O264" s="1211"/>
      <c r="P264" s="2905"/>
    </row>
    <row r="265" spans="2:17" s="2885" customFormat="1" ht="15.5">
      <c r="B265" s="3635" t="s">
        <v>778</v>
      </c>
      <c r="C265" s="2154" t="s">
        <v>1443</v>
      </c>
      <c r="D265" s="2958"/>
      <c r="E265" s="2959"/>
      <c r="F265" s="2959"/>
      <c r="G265" s="1208"/>
      <c r="H265" s="2960"/>
      <c r="I265" s="1212"/>
      <c r="J265" s="2961"/>
      <c r="K265" s="1212"/>
      <c r="L265" s="2962"/>
      <c r="M265" s="1212"/>
      <c r="N265" s="2962"/>
      <c r="O265" s="1212"/>
      <c r="P265" s="2905"/>
    </row>
    <row r="266" spans="2:17" s="2885" customFormat="1" ht="15.5">
      <c r="B266" s="2963"/>
      <c r="C266" s="804" t="s">
        <v>703</v>
      </c>
      <c r="D266" s="2964"/>
      <c r="E266" s="804"/>
      <c r="F266" s="804"/>
      <c r="G266" s="1212"/>
      <c r="H266" s="2965"/>
      <c r="I266" s="1212"/>
      <c r="J266" s="2962"/>
      <c r="K266" s="1212"/>
      <c r="L266" s="2962"/>
      <c r="M266" s="1212"/>
      <c r="N266" s="2962"/>
      <c r="O266" s="1212"/>
      <c r="P266" s="2905"/>
    </row>
    <row r="267" spans="2:17" s="2885" customFormat="1" ht="15.5">
      <c r="B267" s="2963"/>
      <c r="C267" s="804" t="s">
        <v>704</v>
      </c>
      <c r="D267" s="2966"/>
      <c r="E267" s="804"/>
      <c r="F267" s="804"/>
      <c r="G267" s="1212"/>
      <c r="H267" s="2965"/>
      <c r="I267" s="1213"/>
      <c r="J267" s="2967"/>
      <c r="K267" s="1213"/>
      <c r="L267" s="2967"/>
      <c r="M267" s="1213"/>
      <c r="N267" s="2967"/>
      <c r="O267" s="1213"/>
      <c r="P267" s="2905"/>
    </row>
    <row r="268" spans="2:17" s="2885" customFormat="1" ht="15.5">
      <c r="B268" s="2963"/>
      <c r="C268" s="804" t="s">
        <v>705</v>
      </c>
      <c r="D268" s="2966"/>
      <c r="E268" s="804"/>
      <c r="F268" s="804"/>
      <c r="G268" s="1213"/>
      <c r="H268" s="2965"/>
      <c r="I268" s="1213"/>
      <c r="J268" s="2967"/>
      <c r="K268" s="1213"/>
      <c r="L268" s="2967"/>
      <c r="M268" s="1213"/>
      <c r="N268" s="2967"/>
      <c r="O268" s="1213"/>
      <c r="P268" s="2905"/>
    </row>
    <row r="269" spans="2:17" s="2885" customFormat="1" ht="15.5">
      <c r="B269" s="2963"/>
      <c r="C269" s="804" t="s">
        <v>706</v>
      </c>
      <c r="D269" s="2966"/>
      <c r="E269" s="804"/>
      <c r="F269" s="804"/>
      <c r="G269" s="1213"/>
      <c r="H269" s="2965"/>
      <c r="I269" s="2968"/>
      <c r="J269" s="2969"/>
      <c r="K269" s="2968"/>
      <c r="L269" s="2969"/>
      <c r="M269" s="2968"/>
      <c r="N269" s="2969"/>
      <c r="O269" s="2968"/>
      <c r="P269" s="2905"/>
    </row>
    <row r="270" spans="2:17" s="2885" customFormat="1" ht="15.5">
      <c r="B270" s="2970"/>
      <c r="C270" s="804" t="s">
        <v>1164</v>
      </c>
      <c r="D270" s="2966"/>
      <c r="E270" s="804"/>
      <c r="F270" s="804"/>
      <c r="G270" s="2968"/>
      <c r="H270" s="2965"/>
      <c r="I270" s="2968"/>
      <c r="J270" s="2969"/>
      <c r="K270" s="2968"/>
      <c r="L270" s="2969"/>
      <c r="M270" s="2968"/>
      <c r="N270" s="2969"/>
      <c r="O270" s="2968"/>
      <c r="P270" s="2914"/>
    </row>
    <row r="271" spans="2:17" s="2885" customFormat="1" ht="15.5">
      <c r="B271" s="2970"/>
      <c r="C271" s="2965" t="s">
        <v>779</v>
      </c>
      <c r="D271" s="2971"/>
      <c r="E271" s="2965"/>
      <c r="F271" s="2965"/>
      <c r="G271" s="2968"/>
      <c r="H271" s="2965"/>
      <c r="I271" s="2968"/>
      <c r="J271" s="2969"/>
      <c r="K271" s="2968"/>
      <c r="L271" s="2969"/>
      <c r="M271" s="2968"/>
      <c r="N271" s="2969"/>
      <c r="O271" s="2968"/>
      <c r="P271" s="2905"/>
    </row>
    <row r="272" spans="2:17" s="2885" customFormat="1" ht="15.5">
      <c r="B272" s="2972" t="s">
        <v>112</v>
      </c>
      <c r="C272" s="2959" t="s">
        <v>1144</v>
      </c>
      <c r="D272" s="2958"/>
      <c r="E272" s="2965"/>
      <c r="F272" s="2965"/>
      <c r="G272" s="2968"/>
      <c r="H272" s="2965"/>
      <c r="I272" s="2973"/>
      <c r="J272" s="2974"/>
      <c r="K272" s="2973"/>
      <c r="L272" s="2975"/>
      <c r="M272" s="2976"/>
      <c r="N272" s="2977"/>
      <c r="O272" s="3612"/>
      <c r="P272" s="2892"/>
    </row>
    <row r="273" spans="2:16" s="2885" customFormat="1" ht="15.5">
      <c r="B273" s="2978"/>
      <c r="C273" s="2973" t="s">
        <v>1145</v>
      </c>
      <c r="D273" s="803"/>
      <c r="E273" s="2965"/>
      <c r="F273" s="2965"/>
      <c r="G273" s="2973"/>
      <c r="H273" s="2965"/>
      <c r="I273" s="2973"/>
      <c r="J273" s="2974"/>
      <c r="K273" s="2973"/>
      <c r="L273" s="2975"/>
      <c r="M273" s="2976"/>
      <c r="N273" s="2977"/>
      <c r="O273" s="3612"/>
      <c r="P273" s="2936"/>
    </row>
    <row r="274" spans="2:16" s="2885" customFormat="1" ht="15.5">
      <c r="B274" s="2979" t="s">
        <v>777</v>
      </c>
      <c r="C274" s="2970" t="s">
        <v>889</v>
      </c>
      <c r="D274" s="803"/>
      <c r="E274" s="2980"/>
      <c r="F274" s="1431"/>
      <c r="G274" s="2973"/>
      <c r="H274" s="806"/>
      <c r="I274" s="804"/>
      <c r="J274" s="807"/>
      <c r="K274" s="804"/>
      <c r="L274" s="806"/>
      <c r="M274" s="805"/>
      <c r="N274" s="808"/>
      <c r="O274" s="2959"/>
      <c r="P274" s="2884"/>
    </row>
    <row r="275" spans="2:16" s="2885" customFormat="1" ht="15.5">
      <c r="B275" s="2981" t="s">
        <v>1522</v>
      </c>
      <c r="C275" s="2154" t="s">
        <v>1525</v>
      </c>
      <c r="D275" s="2886"/>
      <c r="E275" s="804"/>
      <c r="F275" s="804"/>
      <c r="G275" s="2973"/>
      <c r="H275" s="2886"/>
      <c r="I275" s="2886"/>
      <c r="J275" s="2886"/>
      <c r="K275" s="2886"/>
      <c r="L275" s="2886"/>
      <c r="M275" s="2886"/>
      <c r="N275" s="2886"/>
      <c r="O275" s="3613"/>
      <c r="P275" s="2965"/>
    </row>
    <row r="276" spans="2:16" s="2885" customFormat="1" ht="15.5">
      <c r="C276" s="2982"/>
      <c r="D276" s="2936"/>
      <c r="E276" s="2983"/>
      <c r="F276" s="2983"/>
      <c r="G276" s="2886"/>
      <c r="H276" s="2967"/>
      <c r="I276" s="2936"/>
      <c r="J276" s="2967"/>
      <c r="K276" s="2936"/>
      <c r="L276" s="2967"/>
      <c r="M276" s="2936"/>
      <c r="N276" s="2967"/>
      <c r="O276" s="3082"/>
      <c r="P276" s="2965"/>
    </row>
    <row r="277" spans="2:16" s="2885" customFormat="1" ht="15.5">
      <c r="C277" s="2982"/>
      <c r="D277" s="2936"/>
      <c r="E277" s="804"/>
      <c r="F277" s="804"/>
      <c r="G277" s="2984"/>
      <c r="H277" s="2984"/>
      <c r="I277" s="2984"/>
      <c r="J277" s="2984"/>
      <c r="K277" s="2984"/>
      <c r="L277" s="2984"/>
      <c r="M277" s="2984"/>
      <c r="N277" s="2984"/>
      <c r="O277" s="3614"/>
      <c r="P277" s="2965"/>
    </row>
    <row r="278" spans="2:16" s="2885" customFormat="1" ht="15.5">
      <c r="B278" s="2982"/>
      <c r="C278" s="2982"/>
      <c r="D278" s="2936"/>
      <c r="E278" s="804"/>
      <c r="F278" s="804"/>
      <c r="G278" s="2985"/>
      <c r="H278" s="2985"/>
      <c r="I278" s="2985"/>
      <c r="J278" s="2985"/>
      <c r="K278" s="2985"/>
      <c r="L278" s="2985"/>
      <c r="M278" s="2936"/>
      <c r="N278" s="2967"/>
      <c r="O278" s="3082"/>
      <c r="P278" s="2965"/>
    </row>
    <row r="279" spans="2:16" s="2885" customFormat="1" ht="15.5">
      <c r="B279" s="2982"/>
      <c r="C279" s="2982"/>
      <c r="D279" s="2936"/>
      <c r="E279" s="804"/>
      <c r="F279" s="804"/>
      <c r="G279" s="2985"/>
      <c r="H279" s="2985"/>
      <c r="I279" s="2985"/>
      <c r="J279" s="2985"/>
      <c r="K279" s="2985"/>
      <c r="L279" s="2985"/>
      <c r="M279" s="2936"/>
      <c r="N279" s="2967"/>
      <c r="O279" s="3082"/>
      <c r="P279" s="2965"/>
    </row>
    <row r="280" spans="2:16" s="2885" customFormat="1" ht="15.5">
      <c r="B280" s="2986"/>
      <c r="C280" s="2965"/>
      <c r="D280" s="2936"/>
      <c r="E280" s="804"/>
      <c r="F280" s="804"/>
      <c r="G280" s="2985"/>
      <c r="H280" s="2987"/>
      <c r="I280" s="2965"/>
      <c r="J280" s="2987"/>
      <c r="K280" s="2965"/>
      <c r="L280" s="2967"/>
      <c r="M280" s="2936"/>
      <c r="N280" s="2967"/>
      <c r="O280" s="3082"/>
      <c r="P280" s="2981"/>
    </row>
    <row r="281" spans="2:16" s="2885" customFormat="1" ht="15.5">
      <c r="B281" s="2988"/>
      <c r="C281" s="2965"/>
      <c r="D281" s="2936"/>
      <c r="E281" s="804"/>
      <c r="F281" s="804"/>
      <c r="G281" s="2965"/>
      <c r="H281" s="2987"/>
      <c r="I281" s="2965"/>
      <c r="J281" s="2987"/>
      <c r="K281" s="2965"/>
      <c r="L281" s="2967"/>
      <c r="M281" s="2936"/>
      <c r="N281" s="2967"/>
      <c r="O281" s="3082"/>
      <c r="P281" s="2981"/>
    </row>
    <row r="282" spans="2:16" s="2885" customFormat="1" ht="15.5">
      <c r="B282" s="2988"/>
      <c r="C282" s="2965"/>
      <c r="D282" s="2936"/>
      <c r="E282" s="804"/>
      <c r="F282" s="804"/>
      <c r="G282" s="2965"/>
      <c r="H282" s="2987"/>
      <c r="I282" s="2965"/>
      <c r="J282" s="2987"/>
      <c r="K282" s="2965"/>
      <c r="L282" s="2967"/>
      <c r="M282" s="803"/>
      <c r="N282" s="2962"/>
      <c r="O282" s="3615"/>
      <c r="P282" s="2981"/>
    </row>
    <row r="283" spans="2:16" s="2885" customFormat="1" ht="15.5">
      <c r="B283" s="2981"/>
      <c r="C283" s="2965"/>
      <c r="D283" s="2936"/>
      <c r="E283" s="2520"/>
      <c r="F283" s="2987"/>
      <c r="G283" s="2965"/>
      <c r="H283" s="2987"/>
      <c r="I283" s="2965"/>
      <c r="J283" s="2987"/>
      <c r="K283" s="2965"/>
      <c r="L283" s="2962"/>
      <c r="M283" s="803"/>
      <c r="N283" s="2962"/>
      <c r="O283" s="3615"/>
      <c r="P283" s="2981"/>
    </row>
    <row r="284" spans="2:16" s="2885" customFormat="1" ht="15.5">
      <c r="B284" s="2981"/>
      <c r="C284" s="2965"/>
      <c r="D284" s="2936"/>
      <c r="E284" s="2520"/>
      <c r="F284" s="2987"/>
      <c r="G284" s="2965"/>
      <c r="H284" s="2987"/>
      <c r="I284" s="2965"/>
      <c r="J284" s="2987"/>
      <c r="K284" s="2965"/>
      <c r="L284" s="2962"/>
      <c r="M284" s="2989"/>
      <c r="N284" s="2990"/>
      <c r="O284" s="2989"/>
      <c r="P284" s="2981"/>
    </row>
    <row r="285" spans="2:16" ht="15.5">
      <c r="B285" s="2981"/>
      <c r="C285" s="2965"/>
      <c r="D285" s="2936"/>
      <c r="E285" s="2520"/>
      <c r="F285" s="2987"/>
      <c r="G285" s="2965"/>
      <c r="H285" s="2987"/>
      <c r="I285" s="2965"/>
      <c r="J285" s="2987"/>
      <c r="K285" s="2965"/>
      <c r="L285" s="2962"/>
      <c r="M285" s="803"/>
      <c r="N285" s="2962"/>
      <c r="O285" s="3615"/>
      <c r="P285" s="2981"/>
    </row>
    <row r="286" spans="2:16" ht="15.5">
      <c r="G286" s="2965"/>
    </row>
    <row r="291" spans="3:12" ht="15.5">
      <c r="C291" s="2857"/>
      <c r="D291" s="2856"/>
      <c r="E291" s="2857"/>
      <c r="F291" s="2858"/>
      <c r="H291" s="2994"/>
      <c r="I291" s="2995"/>
      <c r="J291" s="2994"/>
      <c r="K291" s="2995"/>
      <c r="L291" s="2994"/>
    </row>
    <row r="292" spans="3:12" ht="15.5">
      <c r="C292" s="2857"/>
      <c r="D292" s="2856"/>
      <c r="E292" s="2857"/>
      <c r="F292" s="2858"/>
      <c r="G292" s="2995"/>
      <c r="H292" s="2994"/>
      <c r="I292" s="2995"/>
      <c r="J292" s="2994"/>
      <c r="K292" s="2995"/>
      <c r="L292" s="2994"/>
    </row>
    <row r="293" spans="3:12" ht="15.5">
      <c r="C293" s="2857"/>
      <c r="D293" s="2856"/>
      <c r="E293" s="2857"/>
      <c r="F293" s="2858"/>
      <c r="G293" s="2995"/>
      <c r="H293" s="2994"/>
      <c r="I293" s="2995"/>
      <c r="J293" s="2994"/>
      <c r="K293" s="2995"/>
      <c r="L293" s="2994"/>
    </row>
    <row r="294" spans="3:12" ht="15.5">
      <c r="C294" s="2857"/>
      <c r="D294" s="2856"/>
      <c r="E294" s="2857"/>
      <c r="F294" s="2858"/>
      <c r="G294" s="2995"/>
      <c r="H294" s="2994"/>
      <c r="I294" s="2995"/>
      <c r="J294" s="2994"/>
      <c r="K294" s="2995"/>
      <c r="L294" s="2994"/>
    </row>
    <row r="295" spans="3:12" ht="15.5">
      <c r="C295" s="2857"/>
      <c r="D295" s="2856"/>
      <c r="E295" s="2857"/>
      <c r="F295" s="2858"/>
      <c r="G295" s="2995"/>
      <c r="H295" s="2994"/>
      <c r="I295" s="2995"/>
      <c r="J295" s="2994"/>
      <c r="K295" s="2995"/>
      <c r="L295" s="2994"/>
    </row>
    <row r="296" spans="3:12">
      <c r="G296" s="2995"/>
    </row>
  </sheetData>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8 N208 L213 N213 L260 N260 L263 N263 L12:N13 L103:N104 L190:N191 L204:N205 L209:N210 L214:N215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60" workbookViewId="0"/>
  </sheetViews>
  <sheetFormatPr defaultColWidth="8.765625" defaultRowHeight="12.5"/>
  <cols>
    <col min="1" max="1" width="54.765625" style="482" customWidth="1"/>
    <col min="2" max="2" width="13.765625" style="1555" customWidth="1"/>
    <col min="3" max="3" width="1.765625" style="1555" customWidth="1"/>
    <col min="4" max="4" width="13.765625" style="1555" customWidth="1"/>
    <col min="5" max="5" width="1.765625" style="1554" customWidth="1"/>
    <col min="6" max="6" width="13.765625" style="1555" customWidth="1"/>
    <col min="7" max="7" width="1.765625" style="1554" customWidth="1"/>
    <col min="8" max="8" width="13.765625" style="1555" customWidth="1"/>
    <col min="9" max="9" width="1.765625" style="1554" customWidth="1"/>
    <col min="10" max="10" width="13.765625" style="1555" customWidth="1"/>
    <col min="11" max="11" width="1.765625" style="1555" customWidth="1"/>
    <col min="12" max="12" width="13.765625" style="1555" customWidth="1"/>
    <col min="13" max="13" width="1.765625" style="1554" customWidth="1"/>
    <col min="14" max="14" width="13.765625" style="1555" customWidth="1"/>
    <col min="15" max="15" width="1.765625" style="1554" customWidth="1"/>
    <col min="16" max="16" width="13.765625" style="1555" customWidth="1"/>
    <col min="17" max="17" width="1.765625" style="1554" customWidth="1"/>
    <col min="18" max="18" width="13.765625" style="1555" customWidth="1"/>
    <col min="19" max="19" width="1.765625" style="1554" customWidth="1"/>
    <col min="20" max="20" width="13.765625" style="1555" customWidth="1"/>
    <col min="21" max="21" width="1.765625" style="1554" customWidth="1"/>
    <col min="22" max="22" width="13.765625" style="1555" customWidth="1"/>
    <col min="23" max="23" width="1.765625" style="1554" customWidth="1"/>
    <col min="24" max="24" width="13.765625" style="1555" customWidth="1"/>
    <col min="25" max="25" width="1.765625" style="1554" customWidth="1"/>
    <col min="26" max="26" width="18.765625" style="407" customWidth="1"/>
    <col min="27" max="27" width="1.53515625" style="482" customWidth="1"/>
    <col min="28" max="28" width="18.765625" style="482" bestFit="1" customWidth="1"/>
    <col min="29" max="29" width="12.765625" style="482" bestFit="1" customWidth="1"/>
    <col min="30" max="16384" width="8.765625" style="482"/>
  </cols>
  <sheetData>
    <row r="1" spans="1:40" ht="15.5">
      <c r="A1" s="931" t="s">
        <v>885</v>
      </c>
      <c r="B1" s="1302"/>
      <c r="C1" s="1302"/>
      <c r="D1" s="1302"/>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row>
    <row r="2" spans="1:40" ht="15.5">
      <c r="A2" s="931"/>
      <c r="B2" s="1302"/>
      <c r="C2" s="1302"/>
      <c r="D2" s="1302"/>
      <c r="E2" s="1302"/>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row>
    <row r="3" spans="1:40" ht="24" customHeight="1">
      <c r="A3" s="810" t="s">
        <v>0</v>
      </c>
      <c r="B3" s="479"/>
      <c r="C3" s="479"/>
      <c r="D3" s="480"/>
      <c r="E3" s="481"/>
      <c r="F3" s="480"/>
      <c r="G3" s="481"/>
      <c r="H3" s="480"/>
      <c r="I3" s="481"/>
      <c r="K3" s="479"/>
      <c r="L3" s="406"/>
      <c r="M3" s="479"/>
      <c r="N3" s="480"/>
      <c r="O3" s="481"/>
      <c r="P3" s="480"/>
      <c r="Q3" s="481"/>
      <c r="R3" s="480"/>
      <c r="S3" s="481"/>
      <c r="T3" s="480"/>
      <c r="U3" s="481"/>
      <c r="V3" s="480"/>
      <c r="W3" s="481"/>
      <c r="X3" s="480"/>
      <c r="Y3" s="481"/>
      <c r="Z3" s="800" t="s">
        <v>560</v>
      </c>
      <c r="AA3" s="479"/>
      <c r="AC3" s="479"/>
      <c r="AE3" s="479"/>
    </row>
    <row r="4" spans="1:40" ht="16.5">
      <c r="A4" s="810" t="s">
        <v>1293</v>
      </c>
      <c r="B4" s="1303"/>
      <c r="C4" s="1303"/>
      <c r="D4" s="483"/>
      <c r="E4" s="481"/>
      <c r="F4" s="1303"/>
      <c r="G4" s="481"/>
      <c r="H4" s="1303"/>
      <c r="I4" s="481"/>
      <c r="J4" s="1303"/>
      <c r="K4" s="1303"/>
      <c r="L4" s="1303"/>
      <c r="M4" s="484"/>
      <c r="N4" s="1303"/>
      <c r="O4" s="481"/>
      <c r="P4" s="1303"/>
      <c r="Q4" s="481"/>
      <c r="R4" s="1303"/>
      <c r="S4" s="481"/>
      <c r="T4" s="1303"/>
      <c r="U4" s="481"/>
      <c r="V4" s="1303"/>
      <c r="W4" s="481"/>
      <c r="X4" s="1303"/>
      <c r="Y4" s="481"/>
      <c r="Z4" s="1304"/>
      <c r="AA4" s="485"/>
      <c r="AC4" s="479"/>
    </row>
    <row r="5" spans="1:40" ht="16.5">
      <c r="A5" s="811" t="s">
        <v>1083</v>
      </c>
      <c r="B5" s="1303"/>
      <c r="C5" s="1303"/>
      <c r="D5" s="1303"/>
      <c r="E5" s="481"/>
      <c r="F5" s="1303"/>
      <c r="G5" s="481"/>
      <c r="H5" s="1303"/>
      <c r="I5" s="481"/>
      <c r="J5" s="1303"/>
      <c r="K5" s="1303"/>
      <c r="L5" s="1303"/>
      <c r="M5" s="484"/>
      <c r="N5" s="1303"/>
      <c r="O5" s="481"/>
      <c r="P5" s="1303"/>
      <c r="Q5" s="481"/>
      <c r="R5" s="1303"/>
      <c r="S5" s="481"/>
      <c r="T5" s="1303"/>
      <c r="U5" s="481"/>
      <c r="V5" s="1303"/>
      <c r="W5" s="481"/>
      <c r="X5" s="1303"/>
      <c r="Y5" s="481"/>
      <c r="Z5" s="1304"/>
    </row>
    <row r="6" spans="1:40" ht="18" customHeight="1">
      <c r="A6" s="486" t="str">
        <f>'Cashflow Governmental'!A6</f>
        <v xml:space="preserve">FISCAL YEAR 2021-2022   </v>
      </c>
      <c r="B6" s="1303"/>
      <c r="C6" s="1303"/>
      <c r="D6" s="488"/>
      <c r="E6" s="481"/>
      <c r="F6" s="1303"/>
      <c r="G6" s="481"/>
      <c r="H6" s="1303"/>
      <c r="I6" s="481"/>
      <c r="J6" s="1303"/>
      <c r="K6" s="1303"/>
      <c r="L6" s="1303"/>
      <c r="M6" s="484"/>
      <c r="N6" s="1303"/>
      <c r="O6" s="481"/>
      <c r="P6" s="1303"/>
      <c r="Q6" s="481"/>
      <c r="R6" s="1303"/>
      <c r="S6" s="481"/>
      <c r="T6" s="1303"/>
      <c r="U6" s="481"/>
      <c r="V6" s="1303"/>
      <c r="W6" s="481"/>
      <c r="X6" s="1303"/>
      <c r="Y6" s="481"/>
      <c r="Z6" s="1304"/>
    </row>
    <row r="7" spans="1:40" ht="15" customHeight="1">
      <c r="A7" s="487"/>
      <c r="B7" s="1303"/>
      <c r="C7" s="1303"/>
      <c r="D7" s="1303"/>
      <c r="E7" s="481"/>
      <c r="F7" s="1303"/>
      <c r="G7" s="481"/>
      <c r="H7" s="1303"/>
      <c r="I7" s="481"/>
      <c r="J7" s="1303"/>
      <c r="K7" s="1303"/>
      <c r="L7" s="1303"/>
      <c r="M7" s="484"/>
      <c r="N7" s="1303"/>
      <c r="O7" s="481"/>
      <c r="P7" s="1303"/>
      <c r="Q7" s="481"/>
      <c r="R7" s="1305"/>
      <c r="S7" s="481"/>
      <c r="T7" s="1305"/>
      <c r="U7" s="481"/>
      <c r="V7" s="1305"/>
      <c r="W7" s="481"/>
      <c r="X7" s="1305"/>
      <c r="Y7" s="481"/>
      <c r="Z7" s="1304"/>
    </row>
    <row r="8" spans="1:40" ht="15.5">
      <c r="A8" s="478"/>
      <c r="B8" s="1303"/>
      <c r="C8" s="1303"/>
      <c r="D8" s="1303"/>
      <c r="E8" s="481"/>
      <c r="F8" s="1303"/>
      <c r="G8" s="481"/>
      <c r="H8" s="1303"/>
      <c r="I8" s="481"/>
      <c r="J8" s="1303"/>
      <c r="K8" s="1303"/>
      <c r="L8" s="1303"/>
      <c r="M8" s="481"/>
      <c r="N8" s="1303"/>
      <c r="O8" s="481"/>
      <c r="P8" s="1303"/>
      <c r="Q8" s="481"/>
      <c r="R8" s="1303"/>
      <c r="S8" s="481"/>
      <c r="T8" s="1303"/>
      <c r="U8" s="481"/>
      <c r="V8" s="1303"/>
      <c r="W8" s="481"/>
      <c r="X8" s="1303"/>
      <c r="Y8" s="481"/>
      <c r="Z8" s="489"/>
      <c r="AA8" s="490"/>
    </row>
    <row r="9" spans="1:40" ht="15" customHeight="1">
      <c r="A9" s="1306"/>
      <c r="B9" s="903" t="str">
        <f>'Cashflow Governmental'!C13</f>
        <v>2021</v>
      </c>
      <c r="C9" s="491"/>
      <c r="D9" s="491"/>
      <c r="E9" s="484"/>
      <c r="F9" s="491"/>
      <c r="G9" s="484"/>
      <c r="H9" s="491"/>
      <c r="I9" s="484"/>
      <c r="J9" s="491"/>
      <c r="K9" s="491"/>
      <c r="L9" s="492"/>
      <c r="M9" s="484"/>
      <c r="N9" s="492"/>
      <c r="O9" s="484"/>
      <c r="P9" s="492"/>
      <c r="Q9" s="484"/>
      <c r="R9" s="492"/>
      <c r="S9" s="484"/>
      <c r="T9" s="903">
        <f>'Cashflow Governmental'!U13</f>
        <v>2022</v>
      </c>
      <c r="U9" s="484"/>
      <c r="V9" s="492"/>
      <c r="W9" s="484"/>
      <c r="X9" s="492"/>
      <c r="Y9" s="484"/>
      <c r="Z9" s="493" t="s">
        <v>1430</v>
      </c>
      <c r="AA9" s="493"/>
    </row>
    <row r="10" spans="1:40" ht="15" customHeight="1">
      <c r="A10" s="1306"/>
      <c r="B10" s="494" t="s">
        <v>123</v>
      </c>
      <c r="C10" s="495"/>
      <c r="D10" s="492" t="s">
        <v>124</v>
      </c>
      <c r="E10" s="484"/>
      <c r="F10" s="492" t="s">
        <v>125</v>
      </c>
      <c r="G10" s="484"/>
      <c r="H10" s="492" t="s">
        <v>126</v>
      </c>
      <c r="I10" s="484"/>
      <c r="J10" s="492" t="s">
        <v>127</v>
      </c>
      <c r="K10" s="496"/>
      <c r="L10" s="492" t="s">
        <v>142</v>
      </c>
      <c r="M10" s="484"/>
      <c r="N10" s="492" t="s">
        <v>143</v>
      </c>
      <c r="O10" s="484"/>
      <c r="P10" s="492" t="s">
        <v>130</v>
      </c>
      <c r="Q10" s="484"/>
      <c r="R10" s="492" t="s">
        <v>131</v>
      </c>
      <c r="S10" s="484"/>
      <c r="T10" s="492" t="s">
        <v>132</v>
      </c>
      <c r="U10" s="484"/>
      <c r="V10" s="492" t="s">
        <v>133</v>
      </c>
      <c r="W10" s="484"/>
      <c r="X10" s="492" t="s">
        <v>184</v>
      </c>
      <c r="Y10" s="484"/>
      <c r="Z10" s="497" t="s">
        <v>1410</v>
      </c>
      <c r="AA10" s="497"/>
    </row>
    <row r="11" spans="1:40" ht="15" customHeight="1">
      <c r="A11" s="1306"/>
      <c r="B11" s="1568" t="s">
        <v>14</v>
      </c>
      <c r="C11" s="1307"/>
      <c r="D11" s="1568" t="s">
        <v>14</v>
      </c>
      <c r="E11" s="1308"/>
      <c r="F11" s="1568" t="s">
        <v>14</v>
      </c>
      <c r="G11" s="1308"/>
      <c r="H11" s="1568" t="s">
        <v>14</v>
      </c>
      <c r="I11" s="1308"/>
      <c r="J11" s="1568" t="s">
        <v>14</v>
      </c>
      <c r="K11" s="496"/>
      <c r="L11" s="1568" t="s">
        <v>14</v>
      </c>
      <c r="M11" s="1308"/>
      <c r="N11" s="1568" t="s">
        <v>14</v>
      </c>
      <c r="O11" s="1308"/>
      <c r="P11" s="1568" t="s">
        <v>14</v>
      </c>
      <c r="Q11" s="1308"/>
      <c r="R11" s="1568" t="s">
        <v>14</v>
      </c>
      <c r="S11" s="1308"/>
      <c r="T11" s="1568" t="s">
        <v>14</v>
      </c>
      <c r="U11" s="1308"/>
      <c r="V11" s="1568" t="s">
        <v>14</v>
      </c>
      <c r="W11" s="1308"/>
      <c r="X11" s="1568" t="s">
        <v>14</v>
      </c>
      <c r="Y11" s="1308"/>
      <c r="Z11" s="1567" t="s">
        <v>14</v>
      </c>
      <c r="AB11" s="498"/>
      <c r="AC11" s="498"/>
      <c r="AD11" s="498"/>
      <c r="AE11" s="498"/>
      <c r="AF11" s="498"/>
      <c r="AG11" s="498"/>
      <c r="AH11" s="498"/>
      <c r="AI11" s="498"/>
      <c r="AJ11" s="498"/>
      <c r="AK11" s="498"/>
      <c r="AL11" s="498"/>
      <c r="AM11" s="498"/>
      <c r="AN11" s="498"/>
    </row>
    <row r="12" spans="1:40" s="503" customFormat="1" ht="15" customHeight="1">
      <c r="A12" s="812" t="s">
        <v>470</v>
      </c>
      <c r="B12" s="512">
        <v>96722524</v>
      </c>
      <c r="C12" s="500"/>
      <c r="D12" s="499"/>
      <c r="E12" s="1309"/>
      <c r="F12" s="499"/>
      <c r="G12" s="1309"/>
      <c r="H12" s="499"/>
      <c r="I12" s="1309"/>
      <c r="J12" s="499"/>
      <c r="K12" s="501"/>
      <c r="L12" s="499"/>
      <c r="M12" s="502"/>
      <c r="N12" s="499"/>
      <c r="O12" s="499"/>
      <c r="P12" s="499"/>
      <c r="Q12" s="499"/>
      <c r="R12" s="499"/>
      <c r="S12" s="499"/>
      <c r="T12" s="499"/>
      <c r="U12" s="499"/>
      <c r="V12" s="499"/>
      <c r="W12" s="499"/>
      <c r="X12" s="499"/>
      <c r="Y12" s="499"/>
      <c r="Z12" s="499">
        <f>+B12</f>
        <v>96722524</v>
      </c>
    </row>
    <row r="13" spans="1:40" ht="15" customHeight="1">
      <c r="A13" s="1310"/>
      <c r="B13" s="1311"/>
      <c r="C13" s="1312"/>
      <c r="D13" s="1311"/>
      <c r="E13" s="1311"/>
      <c r="F13" s="1311"/>
      <c r="G13" s="1311"/>
      <c r="H13" s="1311"/>
      <c r="I13" s="1311"/>
      <c r="J13" s="1311"/>
      <c r="K13" s="496"/>
      <c r="L13" s="1311"/>
      <c r="M13" s="1311"/>
      <c r="N13" s="1311"/>
      <c r="O13" s="1311"/>
      <c r="P13" s="1311"/>
      <c r="Q13" s="1311"/>
      <c r="R13" s="1311"/>
      <c r="S13" s="1311"/>
      <c r="T13" s="1311"/>
      <c r="U13" s="1311"/>
      <c r="V13" s="1311"/>
      <c r="W13" s="1311"/>
      <c r="X13" s="1311"/>
      <c r="Y13" s="1311"/>
      <c r="Z13" s="1313"/>
    </row>
    <row r="14" spans="1:40" ht="15" customHeight="1">
      <c r="A14" s="504" t="s">
        <v>13</v>
      </c>
      <c r="B14" s="1311"/>
      <c r="C14" s="1312"/>
      <c r="D14" s="1311"/>
      <c r="E14" s="1311"/>
      <c r="F14" s="1311"/>
      <c r="G14" s="1311"/>
      <c r="H14" s="1311"/>
      <c r="I14" s="1311"/>
      <c r="J14" s="1311"/>
      <c r="K14" s="1311"/>
      <c r="L14" s="1311"/>
      <c r="M14" s="1311"/>
      <c r="N14" s="1311"/>
      <c r="O14" s="1311"/>
      <c r="P14" s="1311"/>
      <c r="Q14" s="1311"/>
      <c r="R14" s="1311"/>
      <c r="S14" s="1311"/>
      <c r="T14" s="1311"/>
      <c r="U14" s="1311"/>
      <c r="V14" s="1311"/>
      <c r="W14" s="1311"/>
      <c r="X14" s="1311"/>
      <c r="Y14" s="1311"/>
      <c r="Z14" s="1313"/>
      <c r="AC14" s="1859"/>
    </row>
    <row r="15" spans="1:40" ht="15" customHeight="1">
      <c r="A15" s="813" t="s">
        <v>1137</v>
      </c>
      <c r="B15" s="1319">
        <v>0</v>
      </c>
      <c r="C15" s="1320"/>
      <c r="D15" s="1319"/>
      <c r="E15" s="1319"/>
      <c r="F15" s="1319"/>
      <c r="G15" s="1314"/>
      <c r="H15" s="1319"/>
      <c r="I15" s="1314"/>
      <c r="J15" s="1859"/>
      <c r="K15" s="1314"/>
      <c r="L15" s="1319"/>
      <c r="M15" s="1311"/>
      <c r="N15" s="1319"/>
      <c r="O15" s="1314"/>
      <c r="P15" s="1319"/>
      <c r="Q15" s="1314"/>
      <c r="R15" s="1319"/>
      <c r="S15" s="1314"/>
      <c r="T15" s="1319"/>
      <c r="U15" s="1314"/>
      <c r="V15" s="1319"/>
      <c r="W15" s="1314"/>
      <c r="X15" s="1319"/>
      <c r="Y15" s="1314"/>
      <c r="Z15" s="1316">
        <f>SUM(B15:X15)</f>
        <v>0</v>
      </c>
    </row>
    <row r="16" spans="1:40" ht="15" customHeight="1">
      <c r="A16" s="813" t="s">
        <v>1379</v>
      </c>
      <c r="B16" s="1319">
        <v>1407</v>
      </c>
      <c r="C16" s="1320"/>
      <c r="D16" s="1319"/>
      <c r="E16" s="1319"/>
      <c r="F16" s="1319"/>
      <c r="G16" s="1314"/>
      <c r="H16" s="1319"/>
      <c r="I16" s="1314"/>
      <c r="J16" s="1859"/>
      <c r="K16" s="1314"/>
      <c r="L16" s="1319"/>
      <c r="M16" s="1311"/>
      <c r="N16" s="1319"/>
      <c r="O16" s="1314"/>
      <c r="P16" s="1319"/>
      <c r="Q16" s="1314"/>
      <c r="R16" s="1319"/>
      <c r="S16" s="1314"/>
      <c r="T16" s="1319"/>
      <c r="U16" s="1314"/>
      <c r="V16" s="1319"/>
      <c r="W16" s="1314"/>
      <c r="X16" s="1319"/>
      <c r="Y16" s="1314"/>
      <c r="Z16" s="1316">
        <f>SUM(B16:X16)</f>
        <v>1407</v>
      </c>
    </row>
    <row r="17" spans="1:28" s="503" customFormat="1" ht="22.5" customHeight="1">
      <c r="A17" s="504" t="s">
        <v>149</v>
      </c>
      <c r="B17" s="1566">
        <f>ROUND(SUM(B15:B16),0)</f>
        <v>1407</v>
      </c>
      <c r="C17" s="505"/>
      <c r="D17" s="1566">
        <f>ROUND(SUM(D15:D16),0)</f>
        <v>0</v>
      </c>
      <c r="E17" s="506"/>
      <c r="F17" s="1566">
        <f>ROUND(SUM(F15:F16),0)</f>
        <v>0</v>
      </c>
      <c r="G17" s="506"/>
      <c r="H17" s="1566">
        <f>ROUND(SUM(H15:H16),0)</f>
        <v>0</v>
      </c>
      <c r="I17" s="506"/>
      <c r="J17" s="1566">
        <f>ROUND(SUM(J15:J16),0)</f>
        <v>0</v>
      </c>
      <c r="K17" s="508"/>
      <c r="L17" s="1566">
        <f>ROUND(SUM(L15:L16),0)</f>
        <v>0</v>
      </c>
      <c r="M17" s="502"/>
      <c r="N17" s="1566">
        <f>ROUND(SUM(N15:N16),0)</f>
        <v>0</v>
      </c>
      <c r="O17" s="506"/>
      <c r="P17" s="1566">
        <f>ROUND(SUM(P15:P16),0)</f>
        <v>0</v>
      </c>
      <c r="Q17" s="506"/>
      <c r="R17" s="1566">
        <f>ROUND(SUM(R15:R16),0)</f>
        <v>0</v>
      </c>
      <c r="S17" s="506"/>
      <c r="T17" s="1566">
        <f>ROUND(SUM(T15:T16),0)</f>
        <v>0</v>
      </c>
      <c r="U17" s="506"/>
      <c r="V17" s="1566">
        <f>ROUND(SUM(V15:V16),0)</f>
        <v>0</v>
      </c>
      <c r="W17" s="506"/>
      <c r="X17" s="1566">
        <f>ROUND(SUM(X15:X16),0)</f>
        <v>0</v>
      </c>
      <c r="Y17" s="506"/>
      <c r="Z17" s="1566">
        <f>ROUND(SUM(Z15:Z16),0)</f>
        <v>1407</v>
      </c>
      <c r="AB17" s="408"/>
    </row>
    <row r="18" spans="1:28" ht="15" customHeight="1">
      <c r="A18" s="1310"/>
      <c r="B18" s="1314"/>
      <c r="C18" s="1315"/>
      <c r="D18" s="1314"/>
      <c r="E18" s="1314"/>
      <c r="F18" s="1314"/>
      <c r="G18" s="1314"/>
      <c r="H18" s="1314"/>
      <c r="I18" s="1314"/>
      <c r="J18" s="1314"/>
      <c r="K18" s="1314"/>
      <c r="L18" s="1314"/>
      <c r="M18" s="1311"/>
      <c r="N18" s="1314"/>
      <c r="O18" s="1314"/>
      <c r="P18" s="1314"/>
      <c r="Q18" s="1314"/>
      <c r="R18" s="1314"/>
      <c r="S18" s="1314"/>
      <c r="T18" s="1314"/>
      <c r="U18" s="1314"/>
      <c r="V18" s="1314"/>
      <c r="W18" s="1314"/>
      <c r="X18" s="1314"/>
      <c r="Y18" s="1314"/>
      <c r="Z18" s="1318"/>
    </row>
    <row r="19" spans="1:28" ht="15" customHeight="1">
      <c r="A19" s="504" t="s">
        <v>22</v>
      </c>
      <c r="B19" s="1314"/>
      <c r="C19" s="1315"/>
      <c r="D19" s="1314"/>
      <c r="E19" s="1314"/>
      <c r="F19" s="1314"/>
      <c r="G19" s="1314"/>
      <c r="H19" s="1314"/>
      <c r="I19" s="1314"/>
      <c r="J19" s="1314"/>
      <c r="K19" s="1314"/>
      <c r="L19" s="1319"/>
      <c r="M19" s="1321"/>
      <c r="N19" s="1319"/>
      <c r="O19" s="1314"/>
      <c r="P19" s="1314"/>
      <c r="Q19" s="1314"/>
      <c r="R19" s="1314"/>
      <c r="S19" s="1314"/>
      <c r="T19" s="1314"/>
      <c r="U19" s="1314"/>
      <c r="V19" s="1314"/>
      <c r="W19" s="1314"/>
      <c r="X19" s="1314"/>
      <c r="Y19" s="1314"/>
      <c r="Z19" s="1316"/>
    </row>
    <row r="20" spans="1:28" ht="15" customHeight="1">
      <c r="A20" s="813" t="s">
        <v>1182</v>
      </c>
      <c r="B20" s="1314">
        <v>731174</v>
      </c>
      <c r="C20" s="1315"/>
      <c r="D20" s="1314"/>
      <c r="E20" s="1314"/>
      <c r="F20" s="1314"/>
      <c r="G20" s="1314"/>
      <c r="H20" s="1314"/>
      <c r="I20" s="1314"/>
      <c r="J20" s="1314"/>
      <c r="K20" s="1314"/>
      <c r="L20" s="1319"/>
      <c r="M20" s="1321"/>
      <c r="N20" s="1319"/>
      <c r="O20" s="1314"/>
      <c r="P20" s="1314"/>
      <c r="Q20" s="1314"/>
      <c r="R20" s="1314"/>
      <c r="S20" s="1314"/>
      <c r="T20" s="1314"/>
      <c r="U20" s="1314"/>
      <c r="V20" s="1314"/>
      <c r="W20" s="1314"/>
      <c r="X20" s="1314"/>
      <c r="Y20" s="1314"/>
      <c r="Z20" s="1316">
        <f t="shared" ref="Z20:Z27" si="0">ROUND(SUM(B20:X20),0)</f>
        <v>731174</v>
      </c>
    </row>
    <row r="21" spans="1:28" ht="15" customHeight="1">
      <c r="A21" s="813" t="s">
        <v>1136</v>
      </c>
      <c r="B21" s="1314">
        <v>4076555</v>
      </c>
      <c r="C21" s="1320"/>
      <c r="D21" s="1319"/>
      <c r="E21" s="1319"/>
      <c r="F21" s="1319"/>
      <c r="G21" s="1319"/>
      <c r="H21" s="1319"/>
      <c r="I21" s="1319"/>
      <c r="J21" s="1319"/>
      <c r="K21" s="1319"/>
      <c r="L21" s="1319"/>
      <c r="M21" s="1321"/>
      <c r="N21" s="1319"/>
      <c r="O21" s="1319"/>
      <c r="P21" s="1319"/>
      <c r="Q21" s="1319"/>
      <c r="R21" s="1319"/>
      <c r="S21" s="1319"/>
      <c r="T21" s="1319"/>
      <c r="U21" s="1319"/>
      <c r="V21" s="1319"/>
      <c r="W21" s="1319"/>
      <c r="X21" s="1319"/>
      <c r="Y21" s="1319"/>
      <c r="Z21" s="1316">
        <f t="shared" si="0"/>
        <v>4076555</v>
      </c>
    </row>
    <row r="22" spans="1:28" ht="15" customHeight="1">
      <c r="A22" s="813" t="s">
        <v>1212</v>
      </c>
      <c r="B22" s="1314">
        <v>379374</v>
      </c>
      <c r="C22" s="1320"/>
      <c r="D22" s="1319"/>
      <c r="E22" s="1319"/>
      <c r="F22" s="1319"/>
      <c r="G22" s="1319"/>
      <c r="H22" s="1319"/>
      <c r="I22" s="1319"/>
      <c r="J22" s="1319"/>
      <c r="K22" s="1319"/>
      <c r="L22" s="1319"/>
      <c r="M22" s="1321"/>
      <c r="N22" s="1319"/>
      <c r="O22" s="1319"/>
      <c r="P22" s="1319"/>
      <c r="Q22" s="1319"/>
      <c r="R22" s="1319"/>
      <c r="S22" s="1319"/>
      <c r="T22" s="1319"/>
      <c r="U22" s="1319"/>
      <c r="V22" s="1319"/>
      <c r="W22" s="1319"/>
      <c r="X22" s="1319"/>
      <c r="Y22" s="1319"/>
      <c r="Z22" s="1316">
        <f t="shared" si="0"/>
        <v>379374</v>
      </c>
      <c r="AB22" s="3401"/>
    </row>
    <row r="23" spans="1:28" ht="15" customHeight="1">
      <c r="A23" s="813" t="s">
        <v>1189</v>
      </c>
      <c r="B23" s="1314">
        <v>0</v>
      </c>
      <c r="C23" s="1320"/>
      <c r="D23" s="1319"/>
      <c r="E23" s="1319"/>
      <c r="F23" s="1319"/>
      <c r="G23" s="1319"/>
      <c r="H23" s="1319"/>
      <c r="I23" s="1319"/>
      <c r="J23" s="1319"/>
      <c r="K23" s="1319"/>
      <c r="L23" s="1319"/>
      <c r="M23" s="1321"/>
      <c r="N23" s="1319"/>
      <c r="O23" s="1319"/>
      <c r="P23" s="1319"/>
      <c r="Q23" s="1319"/>
      <c r="R23" s="1319"/>
      <c r="S23" s="1319"/>
      <c r="T23" s="1319"/>
      <c r="U23" s="1319"/>
      <c r="V23" s="1319"/>
      <c r="W23" s="1319"/>
      <c r="X23" s="1319"/>
      <c r="Y23" s="1319"/>
      <c r="Z23" s="1316">
        <f t="shared" si="0"/>
        <v>0</v>
      </c>
    </row>
    <row r="24" spans="1:28" ht="15" customHeight="1">
      <c r="A24" s="813" t="s">
        <v>1380</v>
      </c>
      <c r="B24" s="1314">
        <f>192186+1</f>
        <v>192187</v>
      </c>
      <c r="C24" s="1320"/>
      <c r="D24" s="1319"/>
      <c r="E24" s="1319"/>
      <c r="F24" s="1319"/>
      <c r="G24" s="1319"/>
      <c r="H24" s="1319"/>
      <c r="I24" s="1319"/>
      <c r="J24" s="1319"/>
      <c r="K24" s="1319"/>
      <c r="L24" s="1319"/>
      <c r="M24" s="1321"/>
      <c r="N24" s="1319"/>
      <c r="O24" s="1319"/>
      <c r="P24" s="1319"/>
      <c r="Q24" s="1319"/>
      <c r="R24" s="1319"/>
      <c r="S24" s="1319"/>
      <c r="T24" s="1319"/>
      <c r="U24" s="1319"/>
      <c r="V24" s="1319"/>
      <c r="W24" s="1319"/>
      <c r="X24" s="1319"/>
      <c r="Y24" s="1319"/>
      <c r="Z24" s="1316">
        <f t="shared" si="0"/>
        <v>192187</v>
      </c>
    </row>
    <row r="25" spans="1:28" ht="15" customHeight="1">
      <c r="A25" s="813" t="s">
        <v>1226</v>
      </c>
      <c r="B25" s="1314">
        <v>0</v>
      </c>
      <c r="C25" s="1320"/>
      <c r="D25" s="1319"/>
      <c r="E25" s="1319"/>
      <c r="F25" s="1319"/>
      <c r="G25" s="1319"/>
      <c r="H25" s="1319"/>
      <c r="I25" s="1319"/>
      <c r="J25" s="1319"/>
      <c r="K25" s="1319"/>
      <c r="L25" s="1319"/>
      <c r="M25" s="1321"/>
      <c r="N25" s="1319"/>
      <c r="O25" s="1319"/>
      <c r="P25" s="1319"/>
      <c r="Q25" s="1319"/>
      <c r="R25" s="1319"/>
      <c r="S25" s="1319"/>
      <c r="T25" s="1319"/>
      <c r="U25" s="1319"/>
      <c r="V25" s="1319"/>
      <c r="W25" s="1319"/>
      <c r="X25" s="1319"/>
      <c r="Y25" s="1319"/>
      <c r="Z25" s="1316">
        <f t="shared" si="0"/>
        <v>0</v>
      </c>
    </row>
    <row r="26" spans="1:28" ht="15" customHeight="1">
      <c r="A26" s="813" t="s">
        <v>1135</v>
      </c>
      <c r="B26" s="1314">
        <v>0</v>
      </c>
      <c r="C26" s="1320"/>
      <c r="D26" s="1319"/>
      <c r="E26" s="1319"/>
      <c r="F26" s="1319"/>
      <c r="G26" s="1319"/>
      <c r="H26" s="1319"/>
      <c r="I26" s="1319"/>
      <c r="J26" s="1319"/>
      <c r="K26" s="1319"/>
      <c r="L26" s="1319"/>
      <c r="M26" s="1321"/>
      <c r="N26" s="1319"/>
      <c r="O26" s="1319"/>
      <c r="P26" s="1319"/>
      <c r="Q26" s="1319"/>
      <c r="R26" s="1319"/>
      <c r="S26" s="1319"/>
      <c r="T26" s="1319"/>
      <c r="U26" s="1319"/>
      <c r="V26" s="1319"/>
      <c r="W26" s="1319"/>
      <c r="X26" s="1319"/>
      <c r="Y26" s="1319"/>
      <c r="Z26" s="1316">
        <f t="shared" si="0"/>
        <v>0</v>
      </c>
    </row>
    <row r="27" spans="1:28" ht="15" customHeight="1">
      <c r="A27" s="813" t="s">
        <v>1204</v>
      </c>
      <c r="B27" s="1314">
        <v>0</v>
      </c>
      <c r="C27" s="1320"/>
      <c r="D27" s="1319"/>
      <c r="E27" s="1319"/>
      <c r="F27" s="1319"/>
      <c r="G27" s="1319"/>
      <c r="H27" s="1319"/>
      <c r="I27" s="1319"/>
      <c r="J27" s="1319"/>
      <c r="K27" s="1319"/>
      <c r="L27" s="1319"/>
      <c r="M27" s="1321"/>
      <c r="N27" s="1319"/>
      <c r="O27" s="1319"/>
      <c r="P27" s="1319"/>
      <c r="Q27" s="1319"/>
      <c r="R27" s="1319"/>
      <c r="S27" s="1319"/>
      <c r="T27" s="1319"/>
      <c r="U27" s="1319"/>
      <c r="V27" s="1319"/>
      <c r="W27" s="1319"/>
      <c r="X27" s="1319"/>
      <c r="Y27" s="1319"/>
      <c r="Z27" s="1316">
        <f t="shared" si="0"/>
        <v>0</v>
      </c>
    </row>
    <row r="28" spans="1:28" ht="14.9" customHeight="1">
      <c r="A28" s="813" t="s">
        <v>1213</v>
      </c>
      <c r="B28" s="1314">
        <v>0</v>
      </c>
      <c r="C28" s="1320"/>
      <c r="D28" s="1319"/>
      <c r="E28" s="1319"/>
      <c r="F28" s="1319"/>
      <c r="G28" s="1319"/>
      <c r="H28" s="1319"/>
      <c r="I28" s="1319"/>
      <c r="J28" s="1319"/>
      <c r="K28" s="1319"/>
      <c r="L28" s="1319"/>
      <c r="M28" s="1321"/>
      <c r="N28" s="1319"/>
      <c r="O28" s="1319"/>
      <c r="P28" s="1319"/>
      <c r="Q28" s="1319"/>
      <c r="R28" s="1319"/>
      <c r="S28" s="1319"/>
      <c r="T28" s="1319"/>
      <c r="U28" s="1319"/>
      <c r="V28" s="1319"/>
      <c r="W28" s="1319"/>
      <c r="X28" s="1319"/>
      <c r="Y28" s="1319"/>
      <c r="Z28" s="1316">
        <f t="shared" ref="Z28:Z32" si="1">ROUND(SUM(B28:X28),0)</f>
        <v>0</v>
      </c>
    </row>
    <row r="29" spans="1:28" ht="15" customHeight="1">
      <c r="A29" s="813" t="s">
        <v>1209</v>
      </c>
      <c r="B29" s="1314">
        <v>606923</v>
      </c>
      <c r="C29" s="1320"/>
      <c r="D29" s="1319"/>
      <c r="E29" s="1319"/>
      <c r="F29" s="1319"/>
      <c r="G29" s="1319"/>
      <c r="H29" s="1319"/>
      <c r="I29" s="1319"/>
      <c r="J29" s="1319"/>
      <c r="K29" s="1319"/>
      <c r="L29" s="1319"/>
      <c r="M29" s="1321"/>
      <c r="N29" s="1319"/>
      <c r="O29" s="1319"/>
      <c r="P29" s="1319"/>
      <c r="Q29" s="1319"/>
      <c r="R29" s="1319"/>
      <c r="S29" s="1319"/>
      <c r="T29" s="1319"/>
      <c r="U29" s="1319"/>
      <c r="V29" s="1319"/>
      <c r="W29" s="1319"/>
      <c r="X29" s="1319"/>
      <c r="Y29" s="1319"/>
      <c r="Z29" s="1316">
        <f>ROUND(SUM(B29:X29),0)</f>
        <v>606923</v>
      </c>
    </row>
    <row r="30" spans="1:28" ht="15" customHeight="1">
      <c r="A30" s="813" t="s">
        <v>1134</v>
      </c>
      <c r="B30" s="1314">
        <v>0</v>
      </c>
      <c r="C30" s="1320"/>
      <c r="D30" s="1319"/>
      <c r="E30" s="1319"/>
      <c r="F30" s="1319"/>
      <c r="G30" s="1319"/>
      <c r="H30" s="1319"/>
      <c r="I30" s="1319"/>
      <c r="J30" s="1319"/>
      <c r="K30" s="1319"/>
      <c r="L30" s="1319"/>
      <c r="M30" s="1321"/>
      <c r="N30" s="1319"/>
      <c r="O30" s="1319"/>
      <c r="P30" s="1319"/>
      <c r="Q30" s="1319"/>
      <c r="R30" s="1319"/>
      <c r="S30" s="1319"/>
      <c r="T30" s="1319"/>
      <c r="U30" s="1319"/>
      <c r="V30" s="1319"/>
      <c r="W30" s="1319"/>
      <c r="X30" s="1319"/>
      <c r="Y30" s="1319"/>
      <c r="Z30" s="1316">
        <f t="shared" si="1"/>
        <v>0</v>
      </c>
    </row>
    <row r="31" spans="1:28" ht="15" customHeight="1">
      <c r="A31" s="813" t="s">
        <v>1167</v>
      </c>
      <c r="B31" s="1314">
        <v>0</v>
      </c>
      <c r="C31" s="1320"/>
      <c r="D31" s="1319"/>
      <c r="E31" s="1319"/>
      <c r="F31" s="1319"/>
      <c r="G31" s="1319"/>
      <c r="H31" s="1319"/>
      <c r="I31" s="1319"/>
      <c r="J31" s="1319"/>
      <c r="K31" s="1319"/>
      <c r="L31" s="1319"/>
      <c r="M31" s="1321"/>
      <c r="N31" s="1319"/>
      <c r="O31" s="1319"/>
      <c r="P31" s="1319"/>
      <c r="Q31" s="1319"/>
      <c r="R31" s="1319"/>
      <c r="S31" s="1319"/>
      <c r="T31" s="1319"/>
      <c r="U31" s="1319"/>
      <c r="V31" s="1319"/>
      <c r="W31" s="1319"/>
      <c r="X31" s="1319"/>
      <c r="Y31" s="1319"/>
      <c r="Z31" s="1316">
        <f>ROUND(SUM(B31:X31),0)</f>
        <v>0</v>
      </c>
      <c r="AA31" s="1727"/>
      <c r="AB31" s="1727"/>
    </row>
    <row r="32" spans="1:28" ht="15" customHeight="1">
      <c r="A32" s="813" t="s">
        <v>1133</v>
      </c>
      <c r="B32" s="1314">
        <v>-101562</v>
      </c>
      <c r="C32" s="1320"/>
      <c r="D32" s="1319"/>
      <c r="E32" s="1319"/>
      <c r="F32" s="1319"/>
      <c r="G32" s="1319"/>
      <c r="H32" s="1319"/>
      <c r="I32" s="1319"/>
      <c r="J32" s="1319"/>
      <c r="K32" s="1319"/>
      <c r="L32" s="1319"/>
      <c r="M32" s="1321"/>
      <c r="N32" s="1319"/>
      <c r="O32" s="1319"/>
      <c r="P32" s="1319"/>
      <c r="Q32" s="1319"/>
      <c r="R32" s="1319"/>
      <c r="S32" s="1319"/>
      <c r="T32" s="1319"/>
      <c r="U32" s="1319"/>
      <c r="V32" s="1319"/>
      <c r="W32" s="1319"/>
      <c r="X32" s="1319"/>
      <c r="Y32" s="1319"/>
      <c r="Z32" s="1316">
        <f t="shared" si="1"/>
        <v>-101562</v>
      </c>
    </row>
    <row r="33" spans="1:28" ht="15" customHeight="1">
      <c r="A33" s="813" t="s">
        <v>1132</v>
      </c>
      <c r="B33" s="1314">
        <v>0</v>
      </c>
      <c r="C33" s="1320"/>
      <c r="D33" s="1319"/>
      <c r="E33" s="1319"/>
      <c r="F33" s="1319"/>
      <c r="G33" s="1319"/>
      <c r="H33" s="1319"/>
      <c r="I33" s="1319"/>
      <c r="J33" s="1319"/>
      <c r="K33" s="1319"/>
      <c r="L33" s="1319"/>
      <c r="M33" s="1321"/>
      <c r="N33" s="1319"/>
      <c r="O33" s="1319"/>
      <c r="P33" s="1319"/>
      <c r="Q33" s="1319"/>
      <c r="R33" s="1319"/>
      <c r="S33" s="1319"/>
      <c r="T33" s="1319"/>
      <c r="U33" s="1319"/>
      <c r="V33" s="1319"/>
      <c r="W33" s="1319"/>
      <c r="X33" s="1319"/>
      <c r="Y33" s="1319"/>
      <c r="Z33" s="1316">
        <f>ROUND(SUM(B33:X33),0)</f>
        <v>0</v>
      </c>
    </row>
    <row r="34" spans="1:28" ht="15" customHeight="1">
      <c r="A34" s="813" t="s">
        <v>1131</v>
      </c>
      <c r="B34" s="1314">
        <v>866444</v>
      </c>
      <c r="C34" s="1320"/>
      <c r="D34" s="1319"/>
      <c r="E34" s="1319"/>
      <c r="F34" s="1319"/>
      <c r="G34" s="1319"/>
      <c r="H34" s="1319"/>
      <c r="I34" s="1319"/>
      <c r="J34" s="1319"/>
      <c r="K34" s="1319"/>
      <c r="L34" s="1319"/>
      <c r="M34" s="1321"/>
      <c r="N34" s="1319"/>
      <c r="O34" s="1319"/>
      <c r="P34" s="1319"/>
      <c r="Q34" s="1319"/>
      <c r="R34" s="1319"/>
      <c r="S34" s="1319"/>
      <c r="T34" s="1319"/>
      <c r="U34" s="1319"/>
      <c r="V34" s="1319"/>
      <c r="W34" s="1319"/>
      <c r="X34" s="1319"/>
      <c r="Y34" s="1319"/>
      <c r="Z34" s="1316">
        <f>ROUND(SUM(B34:X34),0)</f>
        <v>866444</v>
      </c>
    </row>
    <row r="35" spans="1:28" ht="15" customHeight="1">
      <c r="A35" s="813" t="s">
        <v>1174</v>
      </c>
      <c r="B35" s="1314">
        <v>0</v>
      </c>
      <c r="C35" s="1320"/>
      <c r="D35" s="1319"/>
      <c r="E35" s="1319"/>
      <c r="F35" s="1319"/>
      <c r="G35" s="1319"/>
      <c r="H35" s="1319"/>
      <c r="I35" s="1319"/>
      <c r="J35" s="1319"/>
      <c r="K35" s="1319"/>
      <c r="L35" s="1319"/>
      <c r="M35" s="1321"/>
      <c r="N35" s="1319"/>
      <c r="O35" s="1319"/>
      <c r="P35" s="1319"/>
      <c r="Q35" s="1319"/>
      <c r="R35" s="1319"/>
      <c r="S35" s="1319"/>
      <c r="T35" s="1319"/>
      <c r="U35" s="1319"/>
      <c r="V35" s="1319"/>
      <c r="W35" s="1319"/>
      <c r="X35" s="1319"/>
      <c r="Y35" s="1319"/>
      <c r="Z35" s="1316">
        <f>ROUND(SUM(B35:X35),0)</f>
        <v>0</v>
      </c>
    </row>
    <row r="36" spans="1:28" ht="15" customHeight="1">
      <c r="A36" s="813" t="s">
        <v>1148</v>
      </c>
      <c r="B36" s="1319">
        <v>6363584</v>
      </c>
      <c r="C36" s="1320"/>
      <c r="D36" s="1319"/>
      <c r="E36" s="1319"/>
      <c r="F36" s="1319"/>
      <c r="G36" s="1319"/>
      <c r="H36" s="1319"/>
      <c r="I36" s="1319"/>
      <c r="J36" s="1319"/>
      <c r="K36" s="1319"/>
      <c r="L36" s="1319"/>
      <c r="M36" s="1321"/>
      <c r="N36" s="1319"/>
      <c r="O36" s="1319"/>
      <c r="P36" s="1319"/>
      <c r="Q36" s="1319"/>
      <c r="R36" s="1319"/>
      <c r="S36" s="1319"/>
      <c r="T36" s="1319"/>
      <c r="U36" s="1319"/>
      <c r="V36" s="1319"/>
      <c r="W36" s="1319"/>
      <c r="X36" s="1319"/>
      <c r="Y36" s="1319"/>
      <c r="Z36" s="1316">
        <f>ROUND(SUM(B36:X36),0)</f>
        <v>6363584</v>
      </c>
    </row>
    <row r="37" spans="1:28" ht="22.5" customHeight="1">
      <c r="A37" s="509" t="s">
        <v>155</v>
      </c>
      <c r="B37" s="1565">
        <f>ROUND(SUM(B20:B36),0)</f>
        <v>13114679</v>
      </c>
      <c r="C37" s="1320"/>
      <c r="D37" s="1565">
        <f>ROUND(SUM(D20:D36),0)</f>
        <v>0</v>
      </c>
      <c r="E37" s="1319"/>
      <c r="F37" s="1565">
        <f>ROUND(SUM(F20:F36),0)</f>
        <v>0</v>
      </c>
      <c r="G37" s="1319"/>
      <c r="H37" s="1565">
        <f>ROUND(SUM(H20:H36),0)</f>
        <v>0</v>
      </c>
      <c r="I37" s="1319"/>
      <c r="J37" s="1565">
        <f>ROUND(SUM(J20:J36),0)</f>
        <v>0</v>
      </c>
      <c r="K37" s="1319"/>
      <c r="L37" s="1565">
        <f>ROUND(SUM(L20:L36),0)</f>
        <v>0</v>
      </c>
      <c r="M37" s="1321"/>
      <c r="N37" s="1565">
        <f>ROUND(SUM(N20:N36),0)</f>
        <v>0</v>
      </c>
      <c r="O37" s="1319"/>
      <c r="P37" s="1565">
        <f>ROUND(SUM(P20:P36),0)</f>
        <v>0</v>
      </c>
      <c r="Q37" s="1319"/>
      <c r="R37" s="1565">
        <f>ROUND(SUM(R20:R36),0)</f>
        <v>0</v>
      </c>
      <c r="S37" s="1319"/>
      <c r="T37" s="1565">
        <f>ROUND(SUM(T20:T36),0)</f>
        <v>0</v>
      </c>
      <c r="U37" s="1319"/>
      <c r="V37" s="1565">
        <f>ROUND(SUM(V20:V36),0)</f>
        <v>0</v>
      </c>
      <c r="W37" s="1319"/>
      <c r="X37" s="1565">
        <f>ROUND(SUM(X20:X36),0)</f>
        <v>0</v>
      </c>
      <c r="Y37" s="1319"/>
      <c r="Z37" s="1565">
        <f>ROUND(SUM(Z20:Z36),0)</f>
        <v>13114679</v>
      </c>
    </row>
    <row r="38" spans="1:28" ht="15" customHeight="1">
      <c r="A38" s="509"/>
      <c r="B38" s="1319"/>
      <c r="C38" s="1320"/>
      <c r="D38" s="1319"/>
      <c r="E38" s="1319"/>
      <c r="F38" s="1325"/>
      <c r="G38" s="1319"/>
      <c r="H38" s="1325"/>
      <c r="I38" s="1319"/>
      <c r="J38" s="1319"/>
      <c r="K38" s="1319"/>
      <c r="L38" s="1324"/>
      <c r="M38" s="1321"/>
      <c r="N38" s="1324"/>
      <c r="O38" s="1319"/>
      <c r="P38" s="1323"/>
      <c r="Q38" s="1319"/>
      <c r="R38" s="1325"/>
      <c r="S38" s="1319"/>
      <c r="T38" s="1325"/>
      <c r="U38" s="1319"/>
      <c r="V38" s="1320"/>
      <c r="W38" s="1319"/>
      <c r="X38" s="1325"/>
      <c r="Y38" s="1319"/>
      <c r="Z38" s="1316"/>
    </row>
    <row r="39" spans="1:28" ht="15" customHeight="1">
      <c r="A39" s="510" t="s">
        <v>484</v>
      </c>
      <c r="B39" s="1325"/>
      <c r="C39" s="1326"/>
      <c r="D39" s="1325"/>
      <c r="E39" s="1319"/>
      <c r="F39" s="1324"/>
      <c r="G39" s="1319"/>
      <c r="H39" s="1325"/>
      <c r="I39" s="1319"/>
      <c r="J39" s="1325"/>
      <c r="K39" s="1319"/>
      <c r="L39" s="1325"/>
      <c r="M39" s="1321"/>
      <c r="N39" s="1325"/>
      <c r="O39" s="1319"/>
      <c r="P39" s="1323"/>
      <c r="Q39" s="1319"/>
      <c r="R39" s="1325"/>
      <c r="S39" s="1319"/>
      <c r="T39" s="1325"/>
      <c r="U39" s="1319"/>
      <c r="V39" s="1324"/>
      <c r="W39" s="1319"/>
      <c r="X39" s="1324"/>
      <c r="Y39" s="1319"/>
      <c r="Z39" s="1316"/>
    </row>
    <row r="40" spans="1:28" ht="15" customHeight="1">
      <c r="A40" s="813" t="s">
        <v>486</v>
      </c>
      <c r="B40" s="1319">
        <v>0</v>
      </c>
      <c r="C40" s="1326"/>
      <c r="D40" s="1319"/>
      <c r="E40" s="1319"/>
      <c r="F40" s="1319"/>
      <c r="G40" s="1319"/>
      <c r="H40" s="1319"/>
      <c r="I40" s="1319"/>
      <c r="J40" s="1319"/>
      <c r="K40" s="1319"/>
      <c r="L40" s="1319"/>
      <c r="M40" s="1321"/>
      <c r="N40" s="1319"/>
      <c r="O40" s="1319"/>
      <c r="P40" s="1319"/>
      <c r="Q40" s="1319"/>
      <c r="R40" s="1319"/>
      <c r="S40" s="1319"/>
      <c r="T40" s="1319"/>
      <c r="U40" s="1319"/>
      <c r="V40" s="1319"/>
      <c r="W40" s="1319"/>
      <c r="X40" s="1319"/>
      <c r="Y40" s="1319"/>
      <c r="Z40" s="1316">
        <v>0</v>
      </c>
    </row>
    <row r="41" spans="1:28" ht="22.5" customHeight="1">
      <c r="A41" s="504" t="s">
        <v>490</v>
      </c>
      <c r="B41" s="1564">
        <f>ROUND(SUM(B40:B40),0)</f>
        <v>0</v>
      </c>
      <c r="C41" s="1317"/>
      <c r="D41" s="1564">
        <f>ROUND(SUM(D40:D40),0)</f>
        <v>0</v>
      </c>
      <c r="E41" s="1314"/>
      <c r="F41" s="1564">
        <f>ROUND(SUM(F40:F40),0)</f>
        <v>0</v>
      </c>
      <c r="G41" s="1314"/>
      <c r="H41" s="1564">
        <f>ROUND(SUM(H40:H40),0)</f>
        <v>0</v>
      </c>
      <c r="I41" s="1314"/>
      <c r="J41" s="1564">
        <f>ROUND(SUM(J40:J40),0)</f>
        <v>0</v>
      </c>
      <c r="K41" s="1314"/>
      <c r="L41" s="1564">
        <f>ROUND(SUM(L40:L40),0)</f>
        <v>0</v>
      </c>
      <c r="M41" s="1311"/>
      <c r="N41" s="1564">
        <f>ROUND(SUM(N40:N40),0)</f>
        <v>0</v>
      </c>
      <c r="O41" s="1314"/>
      <c r="P41" s="1564">
        <f>ROUND(SUM(P40:P40),0)</f>
        <v>0</v>
      </c>
      <c r="Q41" s="1314"/>
      <c r="R41" s="1564">
        <f>ROUND(SUM(R40:R40),0)</f>
        <v>0</v>
      </c>
      <c r="S41" s="1314"/>
      <c r="T41" s="1564">
        <f>ROUND(SUM(T40:T40),0)</f>
        <v>0</v>
      </c>
      <c r="U41" s="1314"/>
      <c r="V41" s="1564">
        <f>ROUND(SUM(V40:V40),0)</f>
        <v>0</v>
      </c>
      <c r="W41" s="1314"/>
      <c r="X41" s="1564">
        <f>ROUND(SUM(X40:X40),0)</f>
        <v>0</v>
      </c>
      <c r="Y41" s="1314"/>
      <c r="Z41" s="1564">
        <f>ROUND(SUM(Z40:Z40),0)</f>
        <v>0</v>
      </c>
    </row>
    <row r="42" spans="1:28" ht="15" customHeight="1">
      <c r="B42" s="1562"/>
      <c r="C42" s="1317"/>
      <c r="D42" s="1562"/>
      <c r="E42" s="1314"/>
      <c r="F42" s="1561"/>
      <c r="G42" s="1314"/>
      <c r="H42" s="1562"/>
      <c r="I42" s="1314"/>
      <c r="J42" s="1562"/>
      <c r="K42" s="1314"/>
      <c r="L42" s="1562"/>
      <c r="M42" s="1311"/>
      <c r="N42" s="1562"/>
      <c r="O42" s="1314"/>
      <c r="P42" s="1563"/>
      <c r="Q42" s="1314"/>
      <c r="R42" s="1562"/>
      <c r="S42" s="1314"/>
      <c r="T42" s="1562"/>
      <c r="U42" s="1314"/>
      <c r="V42" s="1561"/>
      <c r="W42" s="1314"/>
      <c r="X42" s="1327"/>
      <c r="Y42" s="1314"/>
      <c r="Z42" s="1560"/>
    </row>
    <row r="43" spans="1:28" s="503" customFormat="1" ht="20.25" customHeight="1">
      <c r="A43" s="504" t="s">
        <v>491</v>
      </c>
      <c r="B43" s="1328">
        <f>ROUND(B37+B41,0)</f>
        <v>13114679</v>
      </c>
      <c r="C43" s="505"/>
      <c r="D43" s="1328">
        <f>ROUND(D37+D41,0)</f>
        <v>0</v>
      </c>
      <c r="E43" s="506"/>
      <c r="F43" s="1328">
        <f>ROUND(F37+F41,0)</f>
        <v>0</v>
      </c>
      <c r="G43" s="506"/>
      <c r="H43" s="1328">
        <f>ROUND(H37+H41,0)</f>
        <v>0</v>
      </c>
      <c r="I43" s="506"/>
      <c r="J43" s="1328">
        <f>ROUND(J37+J41,0)</f>
        <v>0</v>
      </c>
      <c r="K43" s="505"/>
      <c r="L43" s="1328">
        <f>ROUND(L37+L41,0)</f>
        <v>0</v>
      </c>
      <c r="M43" s="502"/>
      <c r="N43" s="1328">
        <f>ROUND(N37+N41,0)</f>
        <v>0</v>
      </c>
      <c r="O43" s="506"/>
      <c r="P43" s="1328">
        <f>ROUND(P37+P41,0)</f>
        <v>0</v>
      </c>
      <c r="Q43" s="506"/>
      <c r="R43" s="1328">
        <f>ROUND(R37+R41,0)</f>
        <v>0</v>
      </c>
      <c r="S43" s="506"/>
      <c r="T43" s="1328">
        <f>ROUND(T37+T41,0)</f>
        <v>0</v>
      </c>
      <c r="U43" s="506"/>
      <c r="V43" s="1328">
        <f>ROUND(V37+V41,0)</f>
        <v>0</v>
      </c>
      <c r="W43" s="506"/>
      <c r="X43" s="1328">
        <f>ROUND(X37+X41,0)</f>
        <v>0</v>
      </c>
      <c r="Y43" s="506"/>
      <c r="Z43" s="1328">
        <f>ROUND(Z37+Z41,0)</f>
        <v>13114679</v>
      </c>
      <c r="AB43" s="408"/>
    </row>
    <row r="44" spans="1:28" ht="15" customHeight="1">
      <c r="A44" s="1310"/>
      <c r="B44" s="1312"/>
      <c r="C44" s="1312"/>
      <c r="D44" s="1312"/>
      <c r="E44" s="1311"/>
      <c r="F44" s="1312"/>
      <c r="G44" s="1311"/>
      <c r="H44" s="1312"/>
      <c r="I44" s="1311"/>
      <c r="J44" s="1559"/>
      <c r="K44" s="1312"/>
      <c r="L44" s="1559"/>
      <c r="M44" s="1311"/>
      <c r="N44" s="1559"/>
      <c r="O44" s="1311"/>
      <c r="P44" s="1559"/>
      <c r="Q44" s="1311"/>
      <c r="R44" s="1559"/>
      <c r="S44" s="1311"/>
      <c r="T44" s="1559"/>
      <c r="U44" s="1311"/>
      <c r="V44" s="1559"/>
      <c r="W44" s="1311"/>
      <c r="X44" s="1559"/>
      <c r="Y44" s="1311"/>
      <c r="Z44" s="1329"/>
    </row>
    <row r="45" spans="1:28" s="503" customFormat="1" ht="20.25" customHeight="1" thickBot="1">
      <c r="A45" s="510" t="s">
        <v>492</v>
      </c>
      <c r="B45" s="1558">
        <f>ROUND(B12+B17-B43,0)</f>
        <v>83609252</v>
      </c>
      <c r="C45" s="500"/>
      <c r="D45" s="1558">
        <f>ROUND(D12+D17-D43,0)</f>
        <v>0</v>
      </c>
      <c r="E45" s="1309"/>
      <c r="F45" s="1558">
        <f>ROUND(F12+F17-F43,0)</f>
        <v>0</v>
      </c>
      <c r="G45" s="1309"/>
      <c r="H45" s="1558">
        <f>ROUND(H12+H17-H43,0)</f>
        <v>0</v>
      </c>
      <c r="I45" s="1309"/>
      <c r="J45" s="1558">
        <f>ROUND(J12+J17-J43,0)</f>
        <v>0</v>
      </c>
      <c r="K45" s="500"/>
      <c r="L45" s="1558">
        <f>ROUND(L12+L17-L43,0)</f>
        <v>0</v>
      </c>
      <c r="M45" s="511"/>
      <c r="N45" s="1558">
        <f>ROUND(N12+N17-N43,0)</f>
        <v>0</v>
      </c>
      <c r="O45" s="512"/>
      <c r="P45" s="1558">
        <f>ROUND(P12+P17-P43,0)</f>
        <v>0</v>
      </c>
      <c r="Q45" s="512"/>
      <c r="R45" s="1558">
        <f>ROUND(R12+R17-R43,0)</f>
        <v>0</v>
      </c>
      <c r="S45" s="512"/>
      <c r="T45" s="1558">
        <f>ROUND(T12+T17-T43,0)</f>
        <v>0</v>
      </c>
      <c r="U45" s="512"/>
      <c r="V45" s="1558">
        <f>ROUND(V12+V17-V43,0)</f>
        <v>0</v>
      </c>
      <c r="W45" s="512"/>
      <c r="X45" s="1558">
        <f>ROUND(X12+X17-X43,0)</f>
        <v>0</v>
      </c>
      <c r="Y45" s="512"/>
      <c r="Z45" s="1558">
        <f>ROUND(Z12+Z17-Z43,0)</f>
        <v>83609252</v>
      </c>
    </row>
    <row r="46" spans="1:28" ht="15" customHeight="1" thickTop="1">
      <c r="A46" s="1310"/>
      <c r="B46" s="1307"/>
      <c r="C46" s="1307"/>
      <c r="D46" s="1307"/>
      <c r="E46" s="1330"/>
      <c r="F46" s="1307"/>
      <c r="G46" s="1330"/>
      <c r="H46" s="1307"/>
      <c r="I46" s="1330"/>
      <c r="J46" s="1307"/>
      <c r="K46" s="1307"/>
      <c r="L46" s="1307"/>
      <c r="M46" s="1330"/>
      <c r="N46" s="1307"/>
      <c r="O46" s="1330"/>
      <c r="P46" s="1307"/>
      <c r="Q46" s="1330"/>
      <c r="R46" s="1307"/>
      <c r="S46" s="1330"/>
      <c r="T46" s="1307"/>
      <c r="U46" s="1330"/>
      <c r="V46" s="1307"/>
      <c r="W46" s="1330"/>
      <c r="X46" s="1307"/>
      <c r="Y46" s="1330"/>
      <c r="Z46" s="1329"/>
    </row>
    <row r="47" spans="1:28" ht="20.149999999999999" customHeight="1">
      <c r="A47" s="513"/>
      <c r="B47" s="1331"/>
      <c r="C47" s="1331"/>
      <c r="D47" s="1331"/>
      <c r="E47" s="1308"/>
      <c r="F47" s="1331"/>
      <c r="G47" s="1308"/>
      <c r="H47" s="1331"/>
      <c r="I47" s="1308"/>
      <c r="J47" s="1331"/>
      <c r="K47" s="1331"/>
      <c r="L47" s="1331"/>
      <c r="M47" s="1308"/>
      <c r="N47" s="1331"/>
      <c r="O47" s="1308"/>
      <c r="P47" s="1331"/>
      <c r="Q47" s="1308"/>
      <c r="R47" s="1331"/>
      <c r="S47" s="1308"/>
      <c r="T47" s="1331"/>
      <c r="U47" s="1308"/>
      <c r="V47" s="1331"/>
      <c r="W47" s="1308"/>
      <c r="X47" s="1331"/>
      <c r="Y47" s="1308"/>
      <c r="Z47" s="1313"/>
    </row>
    <row r="48" spans="1:28">
      <c r="L48" s="1555" t="s">
        <v>14</v>
      </c>
    </row>
    <row r="49" spans="1:26" ht="18" customHeight="1">
      <c r="A49" s="1557" t="s">
        <v>1294</v>
      </c>
      <c r="B49" s="1303"/>
      <c r="C49" s="1303"/>
      <c r="D49" s="1303"/>
      <c r="E49" s="481"/>
      <c r="F49" s="1303"/>
      <c r="G49" s="481"/>
      <c r="H49" s="1303"/>
      <c r="I49" s="481"/>
      <c r="J49" s="1303"/>
      <c r="K49" s="1303"/>
      <c r="L49" s="1303"/>
      <c r="M49" s="1308"/>
      <c r="N49" s="1303" t="s">
        <v>14</v>
      </c>
      <c r="O49" s="481"/>
      <c r="P49" s="1303"/>
      <c r="Q49" s="481"/>
      <c r="R49" s="1303"/>
      <c r="S49" s="481"/>
      <c r="T49" s="1303"/>
      <c r="U49" s="481"/>
      <c r="V49" s="1303"/>
      <c r="W49" s="481"/>
      <c r="X49" s="1303"/>
      <c r="Y49" s="481"/>
      <c r="Z49" s="1304"/>
    </row>
    <row r="50" spans="1:26" ht="20.149999999999999" customHeight="1">
      <c r="A50" s="1556" t="s">
        <v>1222</v>
      </c>
      <c r="B50" s="1331"/>
      <c r="C50" s="1331"/>
      <c r="D50" s="1331"/>
      <c r="E50" s="1308"/>
      <c r="F50" s="1331"/>
      <c r="G50" s="1308"/>
      <c r="H50" s="1331"/>
      <c r="I50" s="1308"/>
      <c r="J50" s="1331"/>
      <c r="K50" s="1331"/>
      <c r="L50" s="1331"/>
      <c r="M50" s="1308"/>
      <c r="N50" s="1331" t="s">
        <v>14</v>
      </c>
      <c r="O50" s="1308"/>
      <c r="P50" s="1331"/>
      <c r="Q50" s="1308"/>
      <c r="R50" s="1331"/>
      <c r="S50" s="1308"/>
      <c r="T50" s="1331"/>
      <c r="U50" s="1308"/>
      <c r="V50" s="1331"/>
      <c r="W50" s="1308"/>
      <c r="X50" s="1331"/>
      <c r="Y50" s="1308"/>
      <c r="Z50" s="1313"/>
    </row>
    <row r="51" spans="1:26" ht="20.149999999999999" customHeight="1">
      <c r="A51" s="1556"/>
      <c r="B51" s="1331"/>
      <c r="C51" s="1331"/>
      <c r="D51" s="1331"/>
      <c r="E51" s="1308"/>
      <c r="F51" s="1331"/>
      <c r="G51" s="1308"/>
      <c r="H51" s="1331"/>
      <c r="I51" s="1308"/>
      <c r="J51" s="1331"/>
      <c r="K51" s="1331"/>
      <c r="L51" s="1331"/>
      <c r="M51" s="1308"/>
      <c r="N51" s="1331" t="s">
        <v>14</v>
      </c>
      <c r="O51" s="1308"/>
      <c r="P51" s="1331"/>
      <c r="Q51" s="1308"/>
      <c r="R51" s="1331"/>
      <c r="S51" s="1308"/>
      <c r="T51" s="1331"/>
      <c r="U51" s="1308"/>
      <c r="V51" s="1331"/>
      <c r="W51" s="1308"/>
      <c r="X51" s="1331"/>
      <c r="Y51" s="1308"/>
      <c r="Z51" s="1313"/>
    </row>
    <row r="52" spans="1:26" ht="20.149999999999999" customHeight="1">
      <c r="A52" s="1581"/>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xmlns:xlrd2="http://schemas.microsoft.com/office/spreadsheetml/2017/richdata2" ref="A19:AN28">
    <sortCondition ref="A19:A28"/>
  </sortState>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3"/>
  <sheetViews>
    <sheetView showGridLines="0" zoomScale="80" zoomScaleNormal="60" workbookViewId="0"/>
  </sheetViews>
  <sheetFormatPr defaultColWidth="8.765625" defaultRowHeight="17.25" customHeight="1"/>
  <cols>
    <col min="1" max="1" width="60.53515625" style="3749" customWidth="1"/>
    <col min="2" max="2" width="2.07421875" style="3573" customWidth="1"/>
    <col min="3" max="3" width="26" style="3749" customWidth="1"/>
    <col min="4" max="4" width="22.07421875" style="3749" customWidth="1"/>
    <col min="5" max="5" width="25.07421875" style="3749" customWidth="1"/>
    <col min="6" max="6" width="2" style="3749" customWidth="1"/>
    <col min="7" max="7" width="24.07421875" style="3576" customWidth="1"/>
    <col min="8" max="8" width="22.53515625" style="3573" customWidth="1"/>
    <col min="9" max="9" width="26.53515625" style="3573" customWidth="1"/>
    <col min="10" max="10" width="19.765625" style="3811" customWidth="1"/>
    <col min="11" max="11" width="21.765625" style="3811" customWidth="1"/>
    <col min="12" max="12" width="18" style="3811" bestFit="1" customWidth="1"/>
    <col min="13" max="13" width="15.07421875" style="3573" bestFit="1" customWidth="1"/>
    <col min="14" max="16384" width="8.765625" style="3573"/>
  </cols>
  <sheetData>
    <row r="1" spans="1:13" ht="17.25" customHeight="1">
      <c r="A1" s="1493" t="s">
        <v>885</v>
      </c>
    </row>
    <row r="3" spans="1:13" ht="25.4" customHeight="1">
      <c r="A3" s="3775" t="s">
        <v>0</v>
      </c>
      <c r="C3" s="3574"/>
      <c r="D3" s="3574"/>
      <c r="E3" s="3574"/>
      <c r="F3" s="3575"/>
      <c r="H3" s="3578" t="s">
        <v>14</v>
      </c>
      <c r="I3" s="3579" t="s">
        <v>1335</v>
      </c>
    </row>
    <row r="4" spans="1:13" ht="25.4" customHeight="1">
      <c r="A4" s="3776" t="s">
        <v>1359</v>
      </c>
      <c r="C4" s="3574"/>
      <c r="D4" s="3574"/>
      <c r="E4" s="3574"/>
      <c r="F4" s="3575"/>
    </row>
    <row r="5" spans="1:13" ht="21" customHeight="1">
      <c r="A5" s="3898" t="str">
        <f>'HCRA '!A6</f>
        <v xml:space="preserve">FISCAL YEAR 2021-2022   </v>
      </c>
      <c r="C5" s="3574"/>
      <c r="D5" s="3574"/>
      <c r="E5" s="3574"/>
      <c r="F5" s="3575"/>
    </row>
    <row r="6" spans="1:13" ht="17.25" customHeight="1">
      <c r="A6" s="3777"/>
      <c r="C6" s="3574"/>
      <c r="D6" s="3574"/>
      <c r="E6" s="3574"/>
      <c r="F6" s="3575"/>
    </row>
    <row r="7" spans="1:13" ht="17.25" customHeight="1">
      <c r="A7" s="3778"/>
      <c r="B7" s="3627"/>
      <c r="C7" s="3969" t="s">
        <v>1416</v>
      </c>
      <c r="D7" s="3970"/>
      <c r="E7" s="3970"/>
      <c r="F7" s="3739"/>
      <c r="G7" s="3970" t="s">
        <v>1428</v>
      </c>
      <c r="H7" s="3970"/>
      <c r="I7" s="3970"/>
    </row>
    <row r="8" spans="1:13" ht="17.25" customHeight="1">
      <c r="A8" s="3778"/>
      <c r="B8" s="3627"/>
      <c r="C8" s="3778"/>
      <c r="D8" s="3778"/>
      <c r="E8" s="3778"/>
      <c r="F8" s="3778"/>
      <c r="G8" s="3741"/>
      <c r="H8" s="3627"/>
      <c r="I8" s="3627"/>
    </row>
    <row r="9" spans="1:13" ht="17.25" customHeight="1">
      <c r="A9" s="3628"/>
      <c r="B9" s="3627"/>
      <c r="C9" s="3628" t="s">
        <v>1297</v>
      </c>
      <c r="D9" s="3628" t="s">
        <v>1298</v>
      </c>
      <c r="E9" s="3628" t="s">
        <v>1432</v>
      </c>
      <c r="F9" s="3628"/>
      <c r="G9" s="3628" t="s">
        <v>1297</v>
      </c>
      <c r="H9" s="3628" t="s">
        <v>1298</v>
      </c>
      <c r="I9" s="3577" t="s">
        <v>1299</v>
      </c>
    </row>
    <row r="10" spans="1:13" s="3781" customFormat="1" ht="17.25" customHeight="1">
      <c r="A10" s="3779"/>
      <c r="B10" s="3744"/>
      <c r="C10" s="3780"/>
      <c r="D10" s="3780"/>
      <c r="E10" s="3780"/>
      <c r="F10" s="3780"/>
      <c r="G10" s="3594"/>
      <c r="H10" s="3594"/>
      <c r="I10" s="3594"/>
      <c r="J10" s="3818"/>
      <c r="K10" s="3818"/>
      <c r="L10" s="3818"/>
    </row>
    <row r="11" spans="1:13" s="3785" customFormat="1" ht="17.25" customHeight="1">
      <c r="A11" s="3782" t="s">
        <v>1300</v>
      </c>
      <c r="B11" s="3783"/>
      <c r="C11" s="3595">
        <v>0</v>
      </c>
      <c r="D11" s="3595">
        <v>0</v>
      </c>
      <c r="E11" s="3784">
        <f>C11+D11</f>
        <v>0</v>
      </c>
      <c r="F11" s="3784"/>
      <c r="G11" s="3595">
        <v>0</v>
      </c>
      <c r="H11" s="3595">
        <v>0</v>
      </c>
      <c r="I11" s="3784">
        <f>G11+H11</f>
        <v>0</v>
      </c>
      <c r="J11" s="3842"/>
      <c r="K11" s="3842"/>
      <c r="L11" s="3842"/>
    </row>
    <row r="12" spans="1:13" s="3785" customFormat="1" ht="17.25" customHeight="1">
      <c r="A12" s="3782" t="s">
        <v>1324</v>
      </c>
      <c r="B12" s="3783"/>
      <c r="C12" s="3787">
        <v>0</v>
      </c>
      <c r="D12" s="3596">
        <v>-726333.92</v>
      </c>
      <c r="E12" s="3591">
        <f>C12+D12</f>
        <v>-726333.92</v>
      </c>
      <c r="F12" s="3591"/>
      <c r="G12" s="3787">
        <f>C12</f>
        <v>0</v>
      </c>
      <c r="H12" s="3596">
        <f>D12</f>
        <v>-726333.92</v>
      </c>
      <c r="I12" s="3591">
        <f>G12+H12</f>
        <v>-726333.92</v>
      </c>
      <c r="J12" s="3842"/>
      <c r="K12" s="3842"/>
      <c r="L12" s="3842"/>
      <c r="M12" s="3786"/>
    </row>
    <row r="13" spans="1:13" s="3785" customFormat="1" ht="17.25" customHeight="1">
      <c r="A13" s="3782" t="s">
        <v>1325</v>
      </c>
      <c r="B13" s="3783"/>
      <c r="C13" s="3787">
        <v>0</v>
      </c>
      <c r="D13" s="3596">
        <v>132338.79</v>
      </c>
      <c r="E13" s="3591">
        <f t="shared" ref="E13:E56" si="0">C13+D13</f>
        <v>132338.79</v>
      </c>
      <c r="F13" s="3591"/>
      <c r="G13" s="3787">
        <f t="shared" ref="G13:G56" si="1">C13</f>
        <v>0</v>
      </c>
      <c r="H13" s="3596">
        <f t="shared" ref="H13:H56" si="2">D13</f>
        <v>132338.79</v>
      </c>
      <c r="I13" s="3591">
        <f t="shared" ref="I13:I56" si="3">G13+H13</f>
        <v>132338.79</v>
      </c>
      <c r="J13" s="3842"/>
      <c r="K13" s="3842"/>
      <c r="L13" s="3842"/>
    </row>
    <row r="14" spans="1:13" s="3785" customFormat="1" ht="17.25" customHeight="1">
      <c r="A14" s="3580" t="s">
        <v>1315</v>
      </c>
      <c r="B14" s="3788"/>
      <c r="C14" s="3787">
        <v>4132331.21</v>
      </c>
      <c r="D14" s="3596">
        <v>0</v>
      </c>
      <c r="E14" s="3591">
        <f t="shared" si="0"/>
        <v>4132331.21</v>
      </c>
      <c r="F14" s="3591"/>
      <c r="G14" s="3787">
        <f t="shared" si="1"/>
        <v>4132331.21</v>
      </c>
      <c r="H14" s="3596">
        <f t="shared" si="2"/>
        <v>0</v>
      </c>
      <c r="I14" s="3591">
        <f t="shared" si="3"/>
        <v>4132331.21</v>
      </c>
      <c r="J14" s="3842"/>
      <c r="K14" s="3842"/>
      <c r="L14" s="3842"/>
    </row>
    <row r="15" spans="1:13" s="3785" customFormat="1" ht="17.25" customHeight="1">
      <c r="A15" s="3782" t="s">
        <v>1326</v>
      </c>
      <c r="B15" s="3783"/>
      <c r="C15" s="3787">
        <v>0</v>
      </c>
      <c r="D15" s="3596">
        <v>0</v>
      </c>
      <c r="E15" s="3591">
        <f t="shared" si="0"/>
        <v>0</v>
      </c>
      <c r="F15" s="3591"/>
      <c r="G15" s="3787">
        <f t="shared" si="1"/>
        <v>0</v>
      </c>
      <c r="H15" s="3596">
        <f t="shared" si="2"/>
        <v>0</v>
      </c>
      <c r="I15" s="3591">
        <f t="shared" si="3"/>
        <v>0</v>
      </c>
      <c r="J15" s="3842"/>
      <c r="K15" s="3842"/>
      <c r="L15" s="3842"/>
    </row>
    <row r="16" spans="1:13" s="3785" customFormat="1" ht="17.25" customHeight="1">
      <c r="A16" s="3782" t="s">
        <v>1327</v>
      </c>
      <c r="B16" s="3783"/>
      <c r="C16" s="3787">
        <v>1520000</v>
      </c>
      <c r="D16" s="3596">
        <v>0</v>
      </c>
      <c r="E16" s="3591">
        <f t="shared" si="0"/>
        <v>1520000</v>
      </c>
      <c r="F16" s="3591"/>
      <c r="G16" s="3787">
        <f t="shared" si="1"/>
        <v>1520000</v>
      </c>
      <c r="H16" s="3596">
        <f t="shared" si="2"/>
        <v>0</v>
      </c>
      <c r="I16" s="3591">
        <f t="shared" si="3"/>
        <v>1520000</v>
      </c>
      <c r="J16" s="3842"/>
      <c r="K16" s="3842"/>
      <c r="L16" s="3842"/>
    </row>
    <row r="17" spans="1:12" s="3785" customFormat="1" ht="17.25" customHeight="1">
      <c r="A17" s="3782" t="s">
        <v>1328</v>
      </c>
      <c r="B17" s="3783"/>
      <c r="C17" s="3787">
        <v>0</v>
      </c>
      <c r="D17" s="3596">
        <v>0</v>
      </c>
      <c r="E17" s="3591">
        <f t="shared" si="0"/>
        <v>0</v>
      </c>
      <c r="F17" s="3591"/>
      <c r="G17" s="3787">
        <f t="shared" si="1"/>
        <v>0</v>
      </c>
      <c r="H17" s="3596">
        <f t="shared" si="2"/>
        <v>0</v>
      </c>
      <c r="I17" s="3591">
        <f t="shared" si="3"/>
        <v>0</v>
      </c>
      <c r="J17" s="3842"/>
      <c r="K17" s="3842"/>
      <c r="L17" s="3842"/>
    </row>
    <row r="18" spans="1:12" s="3785" customFormat="1" ht="17.25" customHeight="1">
      <c r="A18" s="3782" t="s">
        <v>1301</v>
      </c>
      <c r="B18" s="3783"/>
      <c r="C18" s="3787">
        <v>0</v>
      </c>
      <c r="D18" s="3596">
        <v>0</v>
      </c>
      <c r="E18" s="3591">
        <f t="shared" si="0"/>
        <v>0</v>
      </c>
      <c r="F18" s="3591"/>
      <c r="G18" s="3787">
        <f t="shared" si="1"/>
        <v>0</v>
      </c>
      <c r="H18" s="3596">
        <f t="shared" si="2"/>
        <v>0</v>
      </c>
      <c r="I18" s="3591">
        <f t="shared" si="3"/>
        <v>0</v>
      </c>
      <c r="J18" s="3842"/>
      <c r="K18" s="3842"/>
      <c r="L18" s="3842"/>
    </row>
    <row r="19" spans="1:12" s="3785" customFormat="1" ht="17.25" customHeight="1">
      <c r="A19" s="3782" t="s">
        <v>1302</v>
      </c>
      <c r="B19" s="3783"/>
      <c r="C19" s="3787">
        <v>0</v>
      </c>
      <c r="D19" s="3596">
        <v>513854.9</v>
      </c>
      <c r="E19" s="3591">
        <f t="shared" si="0"/>
        <v>513854.9</v>
      </c>
      <c r="F19" s="3591"/>
      <c r="G19" s="3787">
        <f t="shared" si="1"/>
        <v>0</v>
      </c>
      <c r="H19" s="3596">
        <f t="shared" si="2"/>
        <v>513854.9</v>
      </c>
      <c r="I19" s="3591">
        <f t="shared" si="3"/>
        <v>513854.9</v>
      </c>
      <c r="J19" s="3842"/>
      <c r="K19" s="3842"/>
      <c r="L19" s="3842"/>
    </row>
    <row r="20" spans="1:12" s="3785" customFormat="1" ht="17.25" customHeight="1">
      <c r="A20" s="3782" t="s">
        <v>1303</v>
      </c>
      <c r="B20" s="3783"/>
      <c r="C20" s="3787">
        <v>0</v>
      </c>
      <c r="D20" s="3596">
        <v>0</v>
      </c>
      <c r="E20" s="3591">
        <f t="shared" si="0"/>
        <v>0</v>
      </c>
      <c r="F20" s="3591"/>
      <c r="G20" s="3787">
        <f t="shared" si="1"/>
        <v>0</v>
      </c>
      <c r="H20" s="3596">
        <f t="shared" si="2"/>
        <v>0</v>
      </c>
      <c r="I20" s="3591">
        <f t="shared" si="3"/>
        <v>0</v>
      </c>
      <c r="J20" s="3842"/>
      <c r="K20" s="3842"/>
      <c r="L20" s="3842"/>
    </row>
    <row r="21" spans="1:12" s="3785" customFormat="1" ht="17.25" customHeight="1">
      <c r="A21" s="3782" t="s">
        <v>1345</v>
      </c>
      <c r="B21" s="3783"/>
      <c r="C21" s="3787">
        <v>0</v>
      </c>
      <c r="D21" s="3596">
        <v>0</v>
      </c>
      <c r="E21" s="3591">
        <f t="shared" si="0"/>
        <v>0</v>
      </c>
      <c r="F21" s="3591"/>
      <c r="G21" s="3787">
        <f t="shared" si="1"/>
        <v>0</v>
      </c>
      <c r="H21" s="3596">
        <f t="shared" si="2"/>
        <v>0</v>
      </c>
      <c r="I21" s="3591">
        <f t="shared" si="3"/>
        <v>0</v>
      </c>
      <c r="J21" s="3842"/>
      <c r="K21" s="3842"/>
      <c r="L21" s="3842"/>
    </row>
    <row r="22" spans="1:12" s="3785" customFormat="1" ht="17.25" customHeight="1">
      <c r="A22" s="3782" t="s">
        <v>1329</v>
      </c>
      <c r="B22" s="3783"/>
      <c r="C22" s="3787">
        <v>0</v>
      </c>
      <c r="D22" s="3596">
        <v>0</v>
      </c>
      <c r="E22" s="3591">
        <f t="shared" si="0"/>
        <v>0</v>
      </c>
      <c r="F22" s="3591"/>
      <c r="G22" s="3787">
        <f t="shared" si="1"/>
        <v>0</v>
      </c>
      <c r="H22" s="3596">
        <f t="shared" si="2"/>
        <v>0</v>
      </c>
      <c r="I22" s="3591">
        <f t="shared" si="3"/>
        <v>0</v>
      </c>
      <c r="J22" s="3842"/>
      <c r="K22" s="3842"/>
      <c r="L22" s="3842"/>
    </row>
    <row r="23" spans="1:12" s="3785" customFormat="1" ht="17.25" customHeight="1">
      <c r="A23" s="3782" t="s">
        <v>1304</v>
      </c>
      <c r="B23" s="3783"/>
      <c r="C23" s="3787">
        <v>0</v>
      </c>
      <c r="D23" s="3596">
        <v>0</v>
      </c>
      <c r="E23" s="3591">
        <f t="shared" si="0"/>
        <v>0</v>
      </c>
      <c r="F23" s="3591"/>
      <c r="G23" s="3787">
        <f t="shared" si="1"/>
        <v>0</v>
      </c>
      <c r="H23" s="3596">
        <f t="shared" si="2"/>
        <v>0</v>
      </c>
      <c r="I23" s="3591">
        <f t="shared" si="3"/>
        <v>0</v>
      </c>
      <c r="J23" s="3842"/>
      <c r="K23" s="3842"/>
      <c r="L23" s="3842"/>
    </row>
    <row r="24" spans="1:12" s="3785" customFormat="1" ht="17.25" customHeight="1">
      <c r="A24" s="3782" t="s">
        <v>1346</v>
      </c>
      <c r="B24" s="3783"/>
      <c r="C24" s="3787">
        <v>0</v>
      </c>
      <c r="D24" s="3596">
        <v>0</v>
      </c>
      <c r="E24" s="3591">
        <f t="shared" si="0"/>
        <v>0</v>
      </c>
      <c r="F24" s="3591"/>
      <c r="G24" s="3787">
        <f t="shared" si="1"/>
        <v>0</v>
      </c>
      <c r="H24" s="3596">
        <f t="shared" si="2"/>
        <v>0</v>
      </c>
      <c r="I24" s="3591">
        <f t="shared" si="3"/>
        <v>0</v>
      </c>
      <c r="J24" s="3842"/>
      <c r="K24" s="3842"/>
      <c r="L24" s="3842"/>
    </row>
    <row r="25" spans="1:12" s="3785" customFormat="1" ht="17.25" customHeight="1">
      <c r="A25" s="3782" t="s">
        <v>1330</v>
      </c>
      <c r="B25" s="3783"/>
      <c r="C25" s="3787">
        <v>0</v>
      </c>
      <c r="D25" s="3596">
        <v>0</v>
      </c>
      <c r="E25" s="3591">
        <f t="shared" si="0"/>
        <v>0</v>
      </c>
      <c r="F25" s="3591"/>
      <c r="G25" s="3787">
        <f t="shared" si="1"/>
        <v>0</v>
      </c>
      <c r="H25" s="3596">
        <f t="shared" si="2"/>
        <v>0</v>
      </c>
      <c r="I25" s="3591">
        <f t="shared" si="3"/>
        <v>0</v>
      </c>
      <c r="J25" s="3842"/>
      <c r="K25" s="3842"/>
      <c r="L25" s="3842"/>
    </row>
    <row r="26" spans="1:12" s="3785" customFormat="1" ht="17.25" customHeight="1">
      <c r="A26" s="3782" t="s">
        <v>1331</v>
      </c>
      <c r="B26" s="3783"/>
      <c r="C26" s="3787">
        <v>0</v>
      </c>
      <c r="D26" s="3596">
        <v>0</v>
      </c>
      <c r="E26" s="3591">
        <f t="shared" si="0"/>
        <v>0</v>
      </c>
      <c r="F26" s="3591"/>
      <c r="G26" s="3787">
        <f t="shared" si="1"/>
        <v>0</v>
      </c>
      <c r="H26" s="3596">
        <f t="shared" si="2"/>
        <v>0</v>
      </c>
      <c r="I26" s="3591">
        <f t="shared" si="3"/>
        <v>0</v>
      </c>
      <c r="J26" s="3842"/>
      <c r="K26" s="3842"/>
      <c r="L26" s="3842"/>
    </row>
    <row r="27" spans="1:12" s="3785" customFormat="1" ht="17.25" customHeight="1">
      <c r="A27" s="3782" t="s">
        <v>1375</v>
      </c>
      <c r="B27" s="3783"/>
      <c r="C27" s="3787">
        <v>0</v>
      </c>
      <c r="D27" s="3596">
        <v>0</v>
      </c>
      <c r="E27" s="3591">
        <f t="shared" si="0"/>
        <v>0</v>
      </c>
      <c r="F27" s="3591"/>
      <c r="G27" s="3787">
        <f t="shared" si="1"/>
        <v>0</v>
      </c>
      <c r="H27" s="3596">
        <f t="shared" si="2"/>
        <v>0</v>
      </c>
      <c r="I27" s="3591">
        <f t="shared" si="3"/>
        <v>0</v>
      </c>
      <c r="J27" s="3842"/>
      <c r="K27" s="3842"/>
      <c r="L27" s="3842"/>
    </row>
    <row r="28" spans="1:12" s="3785" customFormat="1" ht="17.25" customHeight="1">
      <c r="A28" s="3782" t="s">
        <v>1340</v>
      </c>
      <c r="B28" s="3783"/>
      <c r="C28" s="3787">
        <v>0</v>
      </c>
      <c r="D28" s="3596">
        <v>0</v>
      </c>
      <c r="E28" s="3591">
        <f t="shared" si="0"/>
        <v>0</v>
      </c>
      <c r="F28" s="3591"/>
      <c r="G28" s="3787">
        <f t="shared" si="1"/>
        <v>0</v>
      </c>
      <c r="H28" s="3596">
        <f t="shared" si="2"/>
        <v>0</v>
      </c>
      <c r="I28" s="3591">
        <f t="shared" si="3"/>
        <v>0</v>
      </c>
      <c r="J28" s="3842"/>
      <c r="K28" s="3842"/>
      <c r="L28" s="3842"/>
    </row>
    <row r="29" spans="1:12" s="3785" customFormat="1" ht="17.25" customHeight="1">
      <c r="A29" s="3782" t="s">
        <v>1305</v>
      </c>
      <c r="B29" s="3783"/>
      <c r="C29" s="3787">
        <v>0</v>
      </c>
      <c r="D29" s="3596">
        <v>0</v>
      </c>
      <c r="E29" s="3591">
        <f t="shared" si="0"/>
        <v>0</v>
      </c>
      <c r="F29" s="3591"/>
      <c r="G29" s="3787">
        <f t="shared" si="1"/>
        <v>0</v>
      </c>
      <c r="H29" s="3596">
        <f t="shared" si="2"/>
        <v>0</v>
      </c>
      <c r="I29" s="3591">
        <f t="shared" si="3"/>
        <v>0</v>
      </c>
      <c r="J29" s="3842"/>
      <c r="K29" s="3842"/>
      <c r="L29" s="3842"/>
    </row>
    <row r="30" spans="1:12" s="3785" customFormat="1" ht="17.25" customHeight="1">
      <c r="A30" s="3782" t="s">
        <v>1306</v>
      </c>
      <c r="B30" s="3783"/>
      <c r="C30" s="3787">
        <v>653646.22</v>
      </c>
      <c r="D30" s="3596">
        <v>0</v>
      </c>
      <c r="E30" s="3591">
        <f t="shared" si="0"/>
        <v>653646.22</v>
      </c>
      <c r="F30" s="3591"/>
      <c r="G30" s="3787">
        <f t="shared" si="1"/>
        <v>653646.22</v>
      </c>
      <c r="H30" s="3596">
        <f t="shared" si="2"/>
        <v>0</v>
      </c>
      <c r="I30" s="3591">
        <f t="shared" si="3"/>
        <v>653646.22</v>
      </c>
      <c r="J30" s="3842"/>
      <c r="K30" s="3842"/>
      <c r="L30" s="3842"/>
    </row>
    <row r="31" spans="1:12" s="3785" customFormat="1" ht="17.25" customHeight="1">
      <c r="A31" s="3782" t="s">
        <v>1339</v>
      </c>
      <c r="B31" s="3783"/>
      <c r="C31" s="3787">
        <v>0</v>
      </c>
      <c r="D31" s="3596">
        <v>0</v>
      </c>
      <c r="E31" s="3591">
        <f t="shared" si="0"/>
        <v>0</v>
      </c>
      <c r="F31" s="3591"/>
      <c r="G31" s="3787">
        <f t="shared" si="1"/>
        <v>0</v>
      </c>
      <c r="H31" s="3596">
        <f t="shared" si="2"/>
        <v>0</v>
      </c>
      <c r="I31" s="3591">
        <f t="shared" si="3"/>
        <v>0</v>
      </c>
      <c r="J31" s="3842"/>
      <c r="K31" s="3842"/>
      <c r="L31" s="3842"/>
    </row>
    <row r="32" spans="1:12" s="3785" customFormat="1" ht="17.25" customHeight="1">
      <c r="A32" s="3782" t="s">
        <v>1342</v>
      </c>
      <c r="B32" s="3783"/>
      <c r="C32" s="3787">
        <v>2126354.79</v>
      </c>
      <c r="D32" s="3596">
        <v>0</v>
      </c>
      <c r="E32" s="3591">
        <f t="shared" si="0"/>
        <v>2126354.79</v>
      </c>
      <c r="F32" s="3591"/>
      <c r="G32" s="3787">
        <f t="shared" si="1"/>
        <v>2126354.79</v>
      </c>
      <c r="H32" s="3596">
        <f t="shared" si="2"/>
        <v>0</v>
      </c>
      <c r="I32" s="3591">
        <f t="shared" si="3"/>
        <v>2126354.79</v>
      </c>
      <c r="J32" s="3842"/>
      <c r="K32" s="3842"/>
      <c r="L32" s="3842"/>
    </row>
    <row r="33" spans="1:12" s="3785" customFormat="1" ht="17.25" customHeight="1">
      <c r="A33" s="3782" t="s">
        <v>1307</v>
      </c>
      <c r="B33" s="3783"/>
      <c r="C33" s="3787">
        <v>1688265.56</v>
      </c>
      <c r="D33" s="3596">
        <v>1461537</v>
      </c>
      <c r="E33" s="3591">
        <f t="shared" si="0"/>
        <v>3149802.56</v>
      </c>
      <c r="F33" s="3591"/>
      <c r="G33" s="3787">
        <f t="shared" si="1"/>
        <v>1688265.56</v>
      </c>
      <c r="H33" s="3596">
        <f t="shared" si="2"/>
        <v>1461537</v>
      </c>
      <c r="I33" s="3591">
        <f t="shared" si="3"/>
        <v>3149802.56</v>
      </c>
      <c r="J33" s="3842"/>
      <c r="K33" s="3842"/>
      <c r="L33" s="3842"/>
    </row>
    <row r="34" spans="1:12" s="3785" customFormat="1" ht="17.25" customHeight="1">
      <c r="A34" s="3782" t="s">
        <v>1308</v>
      </c>
      <c r="B34" s="3783"/>
      <c r="C34" s="3787">
        <v>0</v>
      </c>
      <c r="D34" s="3596">
        <v>0</v>
      </c>
      <c r="E34" s="3591">
        <f t="shared" si="0"/>
        <v>0</v>
      </c>
      <c r="F34" s="3591"/>
      <c r="G34" s="3787">
        <f t="shared" si="1"/>
        <v>0</v>
      </c>
      <c r="H34" s="3596">
        <f t="shared" si="2"/>
        <v>0</v>
      </c>
      <c r="I34" s="3591">
        <f t="shared" si="3"/>
        <v>0</v>
      </c>
      <c r="J34" s="3842"/>
      <c r="K34" s="3842"/>
      <c r="L34" s="3842"/>
    </row>
    <row r="35" spans="1:12" s="3785" customFormat="1" ht="17.25" customHeight="1">
      <c r="A35" s="3782" t="s">
        <v>1309</v>
      </c>
      <c r="B35" s="3783"/>
      <c r="C35" s="3787">
        <v>0</v>
      </c>
      <c r="D35" s="3596">
        <v>0</v>
      </c>
      <c r="E35" s="3591">
        <f t="shared" si="0"/>
        <v>0</v>
      </c>
      <c r="F35" s="3591"/>
      <c r="G35" s="3787">
        <f t="shared" si="1"/>
        <v>0</v>
      </c>
      <c r="H35" s="3596">
        <f t="shared" si="2"/>
        <v>0</v>
      </c>
      <c r="I35" s="3591">
        <f t="shared" si="3"/>
        <v>0</v>
      </c>
      <c r="J35" s="3842"/>
      <c r="K35" s="3842"/>
      <c r="L35" s="3842"/>
    </row>
    <row r="36" spans="1:12" s="3785" customFormat="1" ht="17.25" customHeight="1">
      <c r="A36" s="3782" t="s">
        <v>1316</v>
      </c>
      <c r="B36" s="3783"/>
      <c r="C36" s="3787">
        <v>59484474.57</v>
      </c>
      <c r="D36" s="3596">
        <v>0</v>
      </c>
      <c r="E36" s="3591">
        <f t="shared" si="0"/>
        <v>59484474.57</v>
      </c>
      <c r="F36" s="3591"/>
      <c r="G36" s="3787">
        <f t="shared" si="1"/>
        <v>59484474.57</v>
      </c>
      <c r="H36" s="3596">
        <f t="shared" si="2"/>
        <v>0</v>
      </c>
      <c r="I36" s="3591">
        <f t="shared" si="3"/>
        <v>59484474.57</v>
      </c>
      <c r="J36" s="3842"/>
      <c r="K36" s="3842"/>
      <c r="L36" s="3842"/>
    </row>
    <row r="37" spans="1:12" s="3785" customFormat="1" ht="17.25" customHeight="1">
      <c r="A37" s="3782" t="s">
        <v>1373</v>
      </c>
      <c r="B37" s="3783"/>
      <c r="C37" s="3787">
        <v>0</v>
      </c>
      <c r="D37" s="3596">
        <v>0</v>
      </c>
      <c r="E37" s="3591">
        <f t="shared" si="0"/>
        <v>0</v>
      </c>
      <c r="F37" s="3591"/>
      <c r="G37" s="3787">
        <f t="shared" si="1"/>
        <v>0</v>
      </c>
      <c r="H37" s="3596">
        <f t="shared" si="2"/>
        <v>0</v>
      </c>
      <c r="I37" s="3591">
        <f t="shared" si="3"/>
        <v>0</v>
      </c>
      <c r="J37" s="3842"/>
      <c r="K37" s="3842"/>
      <c r="L37" s="3842"/>
    </row>
    <row r="38" spans="1:12" s="3785" customFormat="1" ht="17.25" customHeight="1">
      <c r="A38" s="3782" t="s">
        <v>1317</v>
      </c>
      <c r="B38" s="3783"/>
      <c r="C38" s="3787">
        <v>17372004.609999999</v>
      </c>
      <c r="D38" s="3596">
        <v>0</v>
      </c>
      <c r="E38" s="3591">
        <f t="shared" si="0"/>
        <v>17372004.609999999</v>
      </c>
      <c r="F38" s="3591"/>
      <c r="G38" s="3787">
        <f t="shared" si="1"/>
        <v>17372004.609999999</v>
      </c>
      <c r="H38" s="3596">
        <f t="shared" si="2"/>
        <v>0</v>
      </c>
      <c r="I38" s="3591">
        <f t="shared" si="3"/>
        <v>17372004.609999999</v>
      </c>
      <c r="J38" s="3842"/>
      <c r="K38" s="3842"/>
      <c r="L38" s="3842"/>
    </row>
    <row r="39" spans="1:12" s="3785" customFormat="1" ht="17.25" customHeight="1">
      <c r="A39" s="3782" t="s">
        <v>1318</v>
      </c>
      <c r="B39" s="3783"/>
      <c r="C39" s="3787">
        <v>25938034.43</v>
      </c>
      <c r="D39" s="3596">
        <v>0</v>
      </c>
      <c r="E39" s="3591">
        <f t="shared" si="0"/>
        <v>25938034.43</v>
      </c>
      <c r="F39" s="3591"/>
      <c r="G39" s="3787">
        <f t="shared" si="1"/>
        <v>25938034.43</v>
      </c>
      <c r="H39" s="3596">
        <f t="shared" si="2"/>
        <v>0</v>
      </c>
      <c r="I39" s="3591">
        <f t="shared" si="3"/>
        <v>25938034.43</v>
      </c>
      <c r="J39" s="3842"/>
      <c r="K39" s="3842"/>
      <c r="L39" s="3842"/>
    </row>
    <row r="40" spans="1:12" s="3785" customFormat="1" ht="17.25" customHeight="1">
      <c r="A40" s="3782" t="s">
        <v>1310</v>
      </c>
      <c r="B40" s="3783"/>
      <c r="C40" s="3787">
        <v>119697631.54000001</v>
      </c>
      <c r="D40" s="3596">
        <v>0</v>
      </c>
      <c r="E40" s="3591">
        <f t="shared" si="0"/>
        <v>119697631.54000001</v>
      </c>
      <c r="F40" s="3591"/>
      <c r="G40" s="3787">
        <f t="shared" si="1"/>
        <v>119697631.54000001</v>
      </c>
      <c r="H40" s="3596">
        <f t="shared" si="2"/>
        <v>0</v>
      </c>
      <c r="I40" s="3591">
        <f t="shared" si="3"/>
        <v>119697631.54000001</v>
      </c>
      <c r="J40" s="3842"/>
      <c r="K40" s="3842"/>
      <c r="L40" s="3842"/>
    </row>
    <row r="41" spans="1:12" s="3785" customFormat="1" ht="17.25" customHeight="1">
      <c r="A41" s="3782" t="s">
        <v>1319</v>
      </c>
      <c r="B41" s="3783"/>
      <c r="C41" s="3787">
        <v>1216633326.01</v>
      </c>
      <c r="D41" s="3596">
        <v>0</v>
      </c>
      <c r="E41" s="3591">
        <f t="shared" si="0"/>
        <v>1216633326.01</v>
      </c>
      <c r="F41" s="3591"/>
      <c r="G41" s="3787">
        <f t="shared" si="1"/>
        <v>1216633326.01</v>
      </c>
      <c r="H41" s="3596">
        <f t="shared" si="2"/>
        <v>0</v>
      </c>
      <c r="I41" s="3591">
        <f t="shared" si="3"/>
        <v>1216633326.01</v>
      </c>
      <c r="J41" s="3842"/>
      <c r="K41" s="3842"/>
      <c r="L41" s="3842"/>
    </row>
    <row r="42" spans="1:12" s="3785" customFormat="1" ht="17.25" customHeight="1">
      <c r="A42" s="3782" t="s">
        <v>1320</v>
      </c>
      <c r="B42" s="3783"/>
      <c r="C42" s="3787">
        <v>808815183.53999996</v>
      </c>
      <c r="D42" s="3596">
        <v>0</v>
      </c>
      <c r="E42" s="3591">
        <f t="shared" si="0"/>
        <v>808815183.53999996</v>
      </c>
      <c r="F42" s="3591"/>
      <c r="G42" s="3787">
        <f t="shared" si="1"/>
        <v>808815183.53999996</v>
      </c>
      <c r="H42" s="3596">
        <f t="shared" si="2"/>
        <v>0</v>
      </c>
      <c r="I42" s="3591">
        <f t="shared" si="3"/>
        <v>808815183.53999996</v>
      </c>
      <c r="J42" s="3842"/>
      <c r="K42" s="3842"/>
      <c r="L42" s="3842"/>
    </row>
    <row r="43" spans="1:12" s="3785" customFormat="1" ht="17.25" customHeight="1">
      <c r="A43" s="3782" t="s">
        <v>1311</v>
      </c>
      <c r="B43" s="3783"/>
      <c r="C43" s="3787">
        <v>12346595.699999999</v>
      </c>
      <c r="D43" s="3596">
        <v>0</v>
      </c>
      <c r="E43" s="3591">
        <f t="shared" si="0"/>
        <v>12346595.699999999</v>
      </c>
      <c r="F43" s="3591"/>
      <c r="G43" s="3787">
        <f t="shared" si="1"/>
        <v>12346595.699999999</v>
      </c>
      <c r="H43" s="3596">
        <f t="shared" si="2"/>
        <v>0</v>
      </c>
      <c r="I43" s="3591">
        <f t="shared" si="3"/>
        <v>12346595.699999999</v>
      </c>
      <c r="J43" s="3842"/>
      <c r="K43" s="3842"/>
      <c r="L43" s="3842"/>
    </row>
    <row r="44" spans="1:12" s="3785" customFormat="1" ht="17.25" customHeight="1">
      <c r="A44" s="3782" t="s">
        <v>1321</v>
      </c>
      <c r="B44" s="3783"/>
      <c r="C44" s="3787">
        <v>11719637.109999999</v>
      </c>
      <c r="D44" s="3596">
        <v>0</v>
      </c>
      <c r="E44" s="3591">
        <f t="shared" si="0"/>
        <v>11719637.109999999</v>
      </c>
      <c r="F44" s="3591"/>
      <c r="G44" s="3787">
        <f t="shared" si="1"/>
        <v>11719637.109999999</v>
      </c>
      <c r="H44" s="3596">
        <f t="shared" si="2"/>
        <v>0</v>
      </c>
      <c r="I44" s="3591">
        <f t="shared" si="3"/>
        <v>11719637.109999999</v>
      </c>
      <c r="J44" s="3842"/>
      <c r="K44" s="3842"/>
      <c r="L44" s="3842"/>
    </row>
    <row r="45" spans="1:12" s="3785" customFormat="1" ht="17.25" customHeight="1">
      <c r="A45" s="3782" t="s">
        <v>1322</v>
      </c>
      <c r="B45" s="3783"/>
      <c r="C45" s="3787">
        <v>270477.17</v>
      </c>
      <c r="D45" s="3596">
        <v>0</v>
      </c>
      <c r="E45" s="3591">
        <f t="shared" si="0"/>
        <v>270477.17</v>
      </c>
      <c r="F45" s="3591"/>
      <c r="G45" s="3787">
        <f t="shared" si="1"/>
        <v>270477.17</v>
      </c>
      <c r="H45" s="3596">
        <f t="shared" si="2"/>
        <v>0</v>
      </c>
      <c r="I45" s="3591">
        <f t="shared" si="3"/>
        <v>270477.17</v>
      </c>
      <c r="J45" s="3842"/>
      <c r="K45" s="3842"/>
      <c r="L45" s="3842"/>
    </row>
    <row r="46" spans="1:12" s="3785" customFormat="1" ht="17.25" customHeight="1">
      <c r="A46" s="3580" t="s">
        <v>1348</v>
      </c>
      <c r="B46" s="3783"/>
      <c r="C46" s="3787">
        <v>462620393.26999998</v>
      </c>
      <c r="D46" s="3596">
        <v>340132</v>
      </c>
      <c r="E46" s="3591">
        <f t="shared" si="0"/>
        <v>462960525.26999998</v>
      </c>
      <c r="F46" s="3591"/>
      <c r="G46" s="3787">
        <f t="shared" si="1"/>
        <v>462620393.26999998</v>
      </c>
      <c r="H46" s="3596">
        <f t="shared" si="2"/>
        <v>340132</v>
      </c>
      <c r="I46" s="3591">
        <f t="shared" si="3"/>
        <v>462960525.26999998</v>
      </c>
      <c r="J46" s="3842"/>
      <c r="K46" s="3842"/>
      <c r="L46" s="3842"/>
    </row>
    <row r="47" spans="1:12" s="3785" customFormat="1" ht="17.25" customHeight="1">
      <c r="A47" s="3782" t="s">
        <v>1323</v>
      </c>
      <c r="B47" s="3783"/>
      <c r="C47" s="3787">
        <v>90865608.109999999</v>
      </c>
      <c r="D47" s="3596">
        <v>0</v>
      </c>
      <c r="E47" s="3591">
        <f t="shared" si="0"/>
        <v>90865608.109999999</v>
      </c>
      <c r="F47" s="3591"/>
      <c r="G47" s="3787">
        <f t="shared" si="1"/>
        <v>90865608.109999999</v>
      </c>
      <c r="H47" s="3596">
        <f t="shared" si="2"/>
        <v>0</v>
      </c>
      <c r="I47" s="3591">
        <f t="shared" si="3"/>
        <v>90865608.109999999</v>
      </c>
      <c r="J47" s="3842"/>
      <c r="K47" s="3842"/>
      <c r="L47" s="3842"/>
    </row>
    <row r="48" spans="1:12" s="3785" customFormat="1" ht="17.25" customHeight="1">
      <c r="A48" s="3782" t="s">
        <v>1332</v>
      </c>
      <c r="B48" s="3783"/>
      <c r="C48" s="3787">
        <v>0</v>
      </c>
      <c r="D48" s="3596">
        <v>0</v>
      </c>
      <c r="E48" s="3591">
        <f t="shared" si="0"/>
        <v>0</v>
      </c>
      <c r="F48" s="3591"/>
      <c r="G48" s="3787">
        <f t="shared" si="1"/>
        <v>0</v>
      </c>
      <c r="H48" s="3596">
        <f t="shared" si="2"/>
        <v>0</v>
      </c>
      <c r="I48" s="3591">
        <f t="shared" si="3"/>
        <v>0</v>
      </c>
      <c r="J48" s="3842"/>
      <c r="K48" s="3842"/>
      <c r="L48" s="3842"/>
    </row>
    <row r="49" spans="1:12" s="3785" customFormat="1" ht="17.25" customHeight="1">
      <c r="A49" s="3782" t="s">
        <v>1376</v>
      </c>
      <c r="B49" s="3783"/>
      <c r="C49" s="3787">
        <v>0</v>
      </c>
      <c r="D49" s="3596">
        <v>0</v>
      </c>
      <c r="E49" s="3591">
        <f t="shared" si="0"/>
        <v>0</v>
      </c>
      <c r="F49" s="3591"/>
      <c r="G49" s="3787">
        <f t="shared" si="1"/>
        <v>0</v>
      </c>
      <c r="H49" s="3596">
        <f t="shared" si="2"/>
        <v>0</v>
      </c>
      <c r="I49" s="3591">
        <f t="shared" si="3"/>
        <v>0</v>
      </c>
      <c r="J49" s="3842"/>
      <c r="K49" s="3842"/>
      <c r="L49" s="3842"/>
    </row>
    <row r="50" spans="1:12" s="3785" customFormat="1" ht="17.25" customHeight="1">
      <c r="A50" s="3782" t="s">
        <v>1312</v>
      </c>
      <c r="B50" s="3783"/>
      <c r="C50" s="3787">
        <v>300000000</v>
      </c>
      <c r="D50" s="3596">
        <v>0</v>
      </c>
      <c r="E50" s="3591">
        <f t="shared" si="0"/>
        <v>300000000</v>
      </c>
      <c r="F50" s="3591"/>
      <c r="G50" s="3787">
        <f t="shared" si="1"/>
        <v>300000000</v>
      </c>
      <c r="H50" s="3596">
        <f t="shared" si="2"/>
        <v>0</v>
      </c>
      <c r="I50" s="3591">
        <f t="shared" si="3"/>
        <v>300000000</v>
      </c>
      <c r="J50" s="3842"/>
      <c r="K50" s="3842"/>
      <c r="L50" s="3842"/>
    </row>
    <row r="51" spans="1:12" s="3785" customFormat="1" ht="17.25" customHeight="1">
      <c r="A51" s="3782" t="s">
        <v>1333</v>
      </c>
      <c r="B51" s="3783"/>
      <c r="C51" s="3787">
        <v>52851205.5</v>
      </c>
      <c r="D51" s="3596">
        <v>0</v>
      </c>
      <c r="E51" s="3591">
        <f t="shared" si="0"/>
        <v>52851205.5</v>
      </c>
      <c r="F51" s="3591"/>
      <c r="G51" s="3787">
        <f t="shared" si="1"/>
        <v>52851205.5</v>
      </c>
      <c r="H51" s="3596">
        <f t="shared" si="2"/>
        <v>0</v>
      </c>
      <c r="I51" s="3591">
        <f t="shared" si="3"/>
        <v>52851205.5</v>
      </c>
      <c r="J51" s="3847"/>
      <c r="K51" s="3842"/>
      <c r="L51" s="3842"/>
    </row>
    <row r="52" spans="1:12" s="3785" customFormat="1" ht="17.25" customHeight="1">
      <c r="A52" s="3782" t="s">
        <v>1334</v>
      </c>
      <c r="B52" s="3783"/>
      <c r="C52" s="3787">
        <v>34256000</v>
      </c>
      <c r="D52" s="3596">
        <v>0</v>
      </c>
      <c r="E52" s="3591">
        <f t="shared" si="0"/>
        <v>34256000</v>
      </c>
      <c r="F52" s="3591"/>
      <c r="G52" s="3787">
        <f t="shared" si="1"/>
        <v>34256000</v>
      </c>
      <c r="H52" s="3596">
        <f t="shared" si="2"/>
        <v>0</v>
      </c>
      <c r="I52" s="3591">
        <f t="shared" si="3"/>
        <v>34256000</v>
      </c>
      <c r="J52" s="3842"/>
      <c r="K52" s="3842"/>
      <c r="L52" s="3842"/>
    </row>
    <row r="53" spans="1:12" s="3785" customFormat="1" ht="17.25" customHeight="1">
      <c r="A53" s="3782" t="s">
        <v>1370</v>
      </c>
      <c r="B53" s="3783"/>
      <c r="C53" s="3787">
        <v>0</v>
      </c>
      <c r="D53" s="3596">
        <v>0</v>
      </c>
      <c r="E53" s="3591">
        <f t="shared" si="0"/>
        <v>0</v>
      </c>
      <c r="F53" s="3591"/>
      <c r="G53" s="3787">
        <f t="shared" si="1"/>
        <v>0</v>
      </c>
      <c r="H53" s="3596">
        <f t="shared" si="2"/>
        <v>0</v>
      </c>
      <c r="I53" s="3591">
        <f t="shared" si="3"/>
        <v>0</v>
      </c>
      <c r="J53" s="3842"/>
      <c r="K53" s="3842"/>
      <c r="L53" s="3842"/>
    </row>
    <row r="54" spans="1:12" s="3785" customFormat="1" ht="17.25" customHeight="1">
      <c r="A54" s="3782" t="s">
        <v>1371</v>
      </c>
      <c r="B54" s="3783"/>
      <c r="C54" s="3787">
        <v>0</v>
      </c>
      <c r="D54" s="3596">
        <v>0</v>
      </c>
      <c r="E54" s="3591">
        <f t="shared" si="0"/>
        <v>0</v>
      </c>
      <c r="F54" s="3591"/>
      <c r="G54" s="3787">
        <f t="shared" si="1"/>
        <v>0</v>
      </c>
      <c r="H54" s="3596">
        <f t="shared" si="2"/>
        <v>0</v>
      </c>
      <c r="I54" s="3591">
        <f t="shared" si="3"/>
        <v>0</v>
      </c>
      <c r="J54" s="3842"/>
      <c r="K54" s="3842"/>
      <c r="L54" s="3842"/>
    </row>
    <row r="55" spans="1:12" s="3785" customFormat="1" ht="17.25" customHeight="1">
      <c r="A55" s="3782" t="s">
        <v>1372</v>
      </c>
      <c r="B55" s="3783"/>
      <c r="C55" s="3787">
        <v>0</v>
      </c>
      <c r="D55" s="3596">
        <v>0</v>
      </c>
      <c r="E55" s="3591">
        <f t="shared" si="0"/>
        <v>0</v>
      </c>
      <c r="F55" s="3591"/>
      <c r="G55" s="3787">
        <f t="shared" si="1"/>
        <v>0</v>
      </c>
      <c r="H55" s="3596">
        <f t="shared" si="2"/>
        <v>0</v>
      </c>
      <c r="I55" s="3591">
        <f t="shared" si="3"/>
        <v>0</v>
      </c>
      <c r="J55" s="3842"/>
      <c r="K55" s="3842"/>
      <c r="L55" s="3842"/>
    </row>
    <row r="56" spans="1:12" s="3785" customFormat="1" ht="17.25" customHeight="1">
      <c r="A56" s="3782" t="s">
        <v>1374</v>
      </c>
      <c r="B56" s="3783"/>
      <c r="C56" s="3787">
        <v>0</v>
      </c>
      <c r="D56" s="3596">
        <v>0</v>
      </c>
      <c r="E56" s="3591">
        <f t="shared" si="0"/>
        <v>0</v>
      </c>
      <c r="F56" s="3591"/>
      <c r="G56" s="3787">
        <f t="shared" si="1"/>
        <v>0</v>
      </c>
      <c r="H56" s="3596">
        <f t="shared" si="2"/>
        <v>0</v>
      </c>
      <c r="I56" s="3591">
        <f t="shared" si="3"/>
        <v>0</v>
      </c>
      <c r="J56" s="3842"/>
      <c r="K56" s="3842"/>
      <c r="L56" s="3842"/>
    </row>
    <row r="57" spans="1:12" s="3781" customFormat="1" ht="17.25" customHeight="1">
      <c r="A57" s="3789" t="s">
        <v>1343</v>
      </c>
      <c r="B57" s="3744"/>
      <c r="C57" s="3790">
        <f>SUM(C11:C56)</f>
        <v>3222991169.3400002</v>
      </c>
      <c r="D57" s="3790">
        <f t="shared" ref="D57:E57" si="4">SUM(D11:D56)</f>
        <v>1721528.77</v>
      </c>
      <c r="E57" s="3790">
        <f t="shared" si="4"/>
        <v>3224712698.1100001</v>
      </c>
      <c r="F57" s="3791"/>
      <c r="G57" s="3790">
        <f t="shared" ref="G57:I57" si="5">SUM(G11:G56)</f>
        <v>3222991169.3400002</v>
      </c>
      <c r="H57" s="3790">
        <f t="shared" si="5"/>
        <v>1721528.77</v>
      </c>
      <c r="I57" s="3790">
        <f t="shared" si="5"/>
        <v>3224712698.1100001</v>
      </c>
      <c r="J57" s="3818"/>
      <c r="K57" s="3842"/>
      <c r="L57" s="3842"/>
    </row>
    <row r="58" spans="1:12" ht="9.65" customHeight="1">
      <c r="A58" s="3778"/>
      <c r="B58" s="3627"/>
      <c r="C58" s="3598"/>
      <c r="D58" s="3598"/>
      <c r="E58" s="3598"/>
      <c r="F58" s="3598"/>
      <c r="G58" s="3599"/>
      <c r="H58" s="3599"/>
      <c r="I58" s="3599"/>
      <c r="K58" s="3842"/>
    </row>
    <row r="59" spans="1:12" ht="32.15" customHeight="1">
      <c r="A59" s="3792" t="s">
        <v>1357</v>
      </c>
      <c r="B59" s="3627"/>
      <c r="C59" s="3864">
        <v>-96811970.939999998</v>
      </c>
      <c r="D59" s="3865">
        <v>0</v>
      </c>
      <c r="E59" s="3866">
        <f>C59+D59</f>
        <v>-96811970.939999998</v>
      </c>
      <c r="F59" s="3861"/>
      <c r="G59" s="3852">
        <f>E59</f>
        <v>-96811970.939999998</v>
      </c>
      <c r="H59" s="3852">
        <v>0</v>
      </c>
      <c r="I59" s="3867">
        <f>G59+H59</f>
        <v>-96811970.939999998</v>
      </c>
      <c r="K59" s="3842"/>
      <c r="L59" s="3809"/>
    </row>
    <row r="60" spans="1:12" ht="15.65" customHeight="1">
      <c r="A60" s="3793"/>
      <c r="B60" s="3627"/>
      <c r="C60" s="3794"/>
      <c r="D60" s="3794"/>
      <c r="E60" s="3794"/>
      <c r="F60" s="3794"/>
      <c r="G60" s="3626"/>
      <c r="H60" s="3626" t="s">
        <v>14</v>
      </c>
      <c r="I60" s="3626"/>
      <c r="K60" s="3842"/>
    </row>
    <row r="61" spans="1:12" ht="17.25" customHeight="1" thickBot="1">
      <c r="A61" s="3793" t="s">
        <v>1313</v>
      </c>
      <c r="B61" s="3627"/>
      <c r="C61" s="3795">
        <f>+C57+C59</f>
        <v>3126179198.4000001</v>
      </c>
      <c r="D61" s="3629">
        <f>+D57</f>
        <v>1721528.77</v>
      </c>
      <c r="E61" s="3629">
        <f>+E57+E59</f>
        <v>3127900727.1700001</v>
      </c>
      <c r="F61" s="3746"/>
      <c r="G61" s="3629">
        <f>+G57+G59</f>
        <v>3126179198.4000001</v>
      </c>
      <c r="H61" s="3629">
        <f>+H57</f>
        <v>1721528.77</v>
      </c>
      <c r="I61" s="3629">
        <f>+I57+I59</f>
        <v>3127900727.1700001</v>
      </c>
      <c r="J61" s="3809"/>
      <c r="K61" s="3842"/>
      <c r="L61" s="3809"/>
    </row>
    <row r="62" spans="1:12" ht="17.25" customHeight="1" thickTop="1">
      <c r="A62" s="3796"/>
      <c r="B62" s="3587"/>
      <c r="C62" s="3796"/>
      <c r="D62" s="3796"/>
      <c r="E62" s="3797"/>
      <c r="F62" s="3797"/>
      <c r="G62" s="3630"/>
      <c r="H62" s="3630"/>
      <c r="I62" s="3630"/>
      <c r="K62" s="3809"/>
    </row>
    <row r="63" spans="1:12" ht="16.399999999999999" customHeight="1">
      <c r="A63" s="3798" t="s">
        <v>1362</v>
      </c>
      <c r="B63" s="3587" t="s">
        <v>14</v>
      </c>
      <c r="C63" s="3796" t="s">
        <v>14</v>
      </c>
      <c r="D63" s="3799"/>
      <c r="E63" s="3800"/>
      <c r="F63" s="3796"/>
      <c r="G63" s="3801"/>
      <c r="H63" s="3587"/>
      <c r="I63" s="3801" t="s">
        <v>14</v>
      </c>
    </row>
    <row r="64" spans="1:12" ht="16.399999999999999" customHeight="1">
      <c r="A64" s="3802" t="s">
        <v>1365</v>
      </c>
      <c r="B64" s="3587"/>
      <c r="C64" s="3803"/>
      <c r="D64" s="3804"/>
      <c r="E64" s="3805" t="s">
        <v>14</v>
      </c>
      <c r="F64" s="3806"/>
      <c r="G64" s="3807"/>
      <c r="H64" s="3631" t="s">
        <v>14</v>
      </c>
      <c r="I64" s="3583"/>
    </row>
    <row r="65" spans="1:17" ht="16.399999999999999" customHeight="1">
      <c r="A65" s="3808" t="s">
        <v>1364</v>
      </c>
      <c r="B65" s="3587"/>
      <c r="C65" s="3800" t="s">
        <v>14</v>
      </c>
      <c r="D65" s="3796" t="s">
        <v>14</v>
      </c>
      <c r="E65" s="3800"/>
      <c r="F65" s="3796"/>
      <c r="G65" s="3809"/>
      <c r="H65" s="3587"/>
      <c r="I65" s="3801" t="s">
        <v>14</v>
      </c>
      <c r="J65" s="3809" t="s">
        <v>14</v>
      </c>
    </row>
    <row r="66" spans="1:17" s="3749" customFormat="1" ht="16.399999999999999" customHeight="1">
      <c r="A66" s="3808" t="s">
        <v>1368</v>
      </c>
      <c r="B66" s="3573"/>
      <c r="C66" s="3749" t="s">
        <v>14</v>
      </c>
      <c r="E66" s="3810"/>
      <c r="G66" s="3809"/>
      <c r="H66" s="3573"/>
      <c r="I66" s="3809" t="s">
        <v>14</v>
      </c>
      <c r="J66" s="3809" t="s">
        <v>14</v>
      </c>
      <c r="K66" s="3811"/>
      <c r="L66" s="3811"/>
      <c r="M66" s="3573"/>
      <c r="N66" s="3573"/>
      <c r="O66" s="3573"/>
      <c r="P66" s="3573"/>
      <c r="Q66" s="3573"/>
    </row>
    <row r="67" spans="1:17" s="3749" customFormat="1" ht="13.4" customHeight="1">
      <c r="A67" s="3808" t="s">
        <v>1360</v>
      </c>
      <c r="B67" s="3573"/>
      <c r="C67" s="3810"/>
      <c r="G67" s="3576"/>
      <c r="H67" s="3573"/>
      <c r="I67" s="3801" t="s">
        <v>14</v>
      </c>
      <c r="J67" s="3809" t="s">
        <v>14</v>
      </c>
      <c r="K67" s="3811"/>
      <c r="L67" s="3811"/>
      <c r="M67" s="3573"/>
      <c r="N67" s="3573"/>
      <c r="O67" s="3573"/>
      <c r="P67" s="3573"/>
      <c r="Q67" s="3573"/>
    </row>
    <row r="68" spans="1:17" ht="17.25" customHeight="1">
      <c r="A68" s="3808" t="s">
        <v>1351</v>
      </c>
    </row>
    <row r="69" spans="1:17" ht="17.25" customHeight="1">
      <c r="C69" s="3810"/>
    </row>
    <row r="70" spans="1:17" ht="17.25" customHeight="1">
      <c r="E70" s="3812" t="s">
        <v>14</v>
      </c>
      <c r="I70" s="3813" t="s">
        <v>14</v>
      </c>
    </row>
    <row r="72" spans="1:17" ht="17.25" customHeight="1">
      <c r="I72" s="3599"/>
    </row>
    <row r="73" spans="1:17" ht="17.25" customHeight="1">
      <c r="I73" s="3814"/>
    </row>
  </sheetData>
  <mergeCells count="2">
    <mergeCell ref="C7:E7"/>
    <mergeCell ref="G7:I7"/>
  </mergeCells>
  <pageMargins left="0.17" right="0.18" top="0.44" bottom="0.27" header="0.23" footer="0.18"/>
  <pageSetup scale="47" firstPageNumber="57" orientation="landscape" useFirstPageNumber="1" r:id="rId1"/>
  <headerFooter scaleWithDoc="0" alignWithMargins="0">
    <oddFooter>&amp;C&amp;8&amp;P</oddFooter>
  </headerFooter>
  <ignoredErrors>
    <ignoredError sqref="D61 H6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47"/>
  <sheetViews>
    <sheetView showGridLines="0" zoomScale="90" zoomScaleNormal="60" workbookViewId="0"/>
  </sheetViews>
  <sheetFormatPr defaultColWidth="8.765625" defaultRowHeight="14.5"/>
  <cols>
    <col min="1" max="1" width="58.765625" style="3821" customWidth="1"/>
    <col min="2" max="2" width="2" style="3573" customWidth="1"/>
    <col min="3" max="3" width="21.07421875" style="3749" customWidth="1"/>
    <col min="4" max="4" width="21.765625" style="3749" customWidth="1"/>
    <col min="5" max="5" width="19.765625" style="3749" customWidth="1"/>
    <col min="6" max="6" width="0.765625" style="3749" customWidth="1"/>
    <col min="7" max="7" width="22.07421875" style="3576" customWidth="1"/>
    <col min="8" max="8" width="20.765625" style="3573" customWidth="1"/>
    <col min="9" max="9" width="21.765625" style="3573" customWidth="1"/>
    <col min="10" max="10" width="21.07421875" style="3573" customWidth="1"/>
    <col min="11" max="11" width="19.07421875" style="3573" customWidth="1"/>
    <col min="12" max="12" width="17.765625" style="3573" customWidth="1"/>
    <col min="13" max="16384" width="8.765625" style="3573"/>
  </cols>
  <sheetData>
    <row r="1" spans="1:12" ht="15.5">
      <c r="A1" s="1493" t="s">
        <v>885</v>
      </c>
    </row>
    <row r="3" spans="1:12" ht="25.4" customHeight="1">
      <c r="A3" s="3775" t="s">
        <v>0</v>
      </c>
      <c r="C3" s="3574"/>
      <c r="D3" s="3574"/>
      <c r="E3" s="3574"/>
      <c r="F3" s="3575"/>
      <c r="I3" s="3579" t="s">
        <v>1338</v>
      </c>
    </row>
    <row r="4" spans="1:12" ht="25.4" customHeight="1">
      <c r="A4" s="3776" t="s">
        <v>1361</v>
      </c>
      <c r="C4" s="3574"/>
      <c r="D4" s="3574"/>
      <c r="E4" s="3574"/>
      <c r="F4" s="3575"/>
    </row>
    <row r="5" spans="1:12" ht="18.649999999999999" customHeight="1">
      <c r="A5" s="3898" t="str">
        <f>'Appendix H'!A5</f>
        <v xml:space="preserve">FISCAL YEAR 2021-2022   </v>
      </c>
      <c r="C5" s="3574"/>
      <c r="D5" s="3574"/>
      <c r="E5" s="3574"/>
      <c r="F5" s="3575"/>
    </row>
    <row r="6" spans="1:12" ht="21">
      <c r="A6" s="3815"/>
      <c r="C6" s="3574"/>
      <c r="D6" s="3574"/>
      <c r="E6" s="3574"/>
      <c r="F6" s="3575"/>
    </row>
    <row r="7" spans="1:12" ht="15.5">
      <c r="A7" s="3816"/>
      <c r="B7" s="3627"/>
      <c r="C7" s="3969" t="str">
        <f>'Appendix H'!C7:E7</f>
        <v>APRIL 2021</v>
      </c>
      <c r="D7" s="3970"/>
      <c r="E7" s="3970"/>
      <c r="F7" s="3739"/>
      <c r="G7" s="3970" t="str">
        <f>'Appendix H'!G7:I7</f>
        <v>1 MONTH ENDED APRIL 30</v>
      </c>
      <c r="H7" s="3970"/>
      <c r="I7" s="3970"/>
    </row>
    <row r="8" spans="1:12" ht="15.5">
      <c r="A8" s="3816"/>
      <c r="B8" s="3627"/>
      <c r="C8" s="3740"/>
      <c r="D8" s="3740"/>
      <c r="E8" s="3740"/>
      <c r="F8" s="3740"/>
      <c r="G8" s="3741"/>
      <c r="H8" s="3627"/>
      <c r="I8" s="3627"/>
    </row>
    <row r="9" spans="1:12" ht="15.5">
      <c r="A9" s="3817"/>
      <c r="B9" s="3627"/>
      <c r="C9" s="3628" t="s">
        <v>1297</v>
      </c>
      <c r="D9" s="3628" t="s">
        <v>1298</v>
      </c>
      <c r="E9" s="3628" t="str">
        <f>'Appendix H'!E9</f>
        <v>April</v>
      </c>
      <c r="F9" s="3628"/>
      <c r="G9" s="3628" t="s">
        <v>1297</v>
      </c>
      <c r="H9" s="3628" t="s">
        <v>1298</v>
      </c>
      <c r="I9" s="3577" t="s">
        <v>1299</v>
      </c>
    </row>
    <row r="10" spans="1:12" s="3781" customFormat="1" ht="15.5">
      <c r="A10" s="3779"/>
      <c r="B10" s="3744"/>
      <c r="C10" s="3742"/>
      <c r="D10" s="3742"/>
      <c r="E10" s="3742"/>
      <c r="F10" s="3742"/>
      <c r="G10" s="3743"/>
      <c r="H10" s="3744"/>
      <c r="I10" s="3743"/>
    </row>
    <row r="11" spans="1:12" s="3785" customFormat="1" ht="15.5">
      <c r="A11" s="3782" t="s">
        <v>1341</v>
      </c>
      <c r="B11" s="3783"/>
      <c r="C11" s="3745">
        <v>11500508.35</v>
      </c>
      <c r="D11" s="3745">
        <v>0</v>
      </c>
      <c r="E11" s="3746">
        <f>C11+D11</f>
        <v>11500508.35</v>
      </c>
      <c r="F11" s="3746"/>
      <c r="G11" s="3745">
        <f>C11</f>
        <v>11500508.35</v>
      </c>
      <c r="H11" s="3745">
        <f>D11</f>
        <v>0</v>
      </c>
      <c r="I11" s="3746">
        <f>G11+H11</f>
        <v>11500508.35</v>
      </c>
      <c r="J11" s="3786"/>
      <c r="K11" s="3786"/>
      <c r="L11" s="3786" t="s">
        <v>14</v>
      </c>
    </row>
    <row r="12" spans="1:12" s="3785" customFormat="1" ht="15.5">
      <c r="A12" s="3782" t="s">
        <v>1315</v>
      </c>
      <c r="B12" s="3783"/>
      <c r="C12" s="3596">
        <v>-240</v>
      </c>
      <c r="D12" s="3596">
        <v>0</v>
      </c>
      <c r="E12" s="3591">
        <f>C12+D12</f>
        <v>-240</v>
      </c>
      <c r="F12" s="3591"/>
      <c r="G12" s="3596">
        <f>C12</f>
        <v>-240</v>
      </c>
      <c r="H12" s="3596">
        <f>D12</f>
        <v>0</v>
      </c>
      <c r="I12" s="3591">
        <f>G12+H12</f>
        <v>-240</v>
      </c>
      <c r="J12" s="3786"/>
      <c r="K12" s="3786"/>
      <c r="L12" s="3786" t="s">
        <v>14</v>
      </c>
    </row>
    <row r="13" spans="1:12" s="3785" customFormat="1" ht="15.5">
      <c r="A13" s="3782" t="s">
        <v>1314</v>
      </c>
      <c r="B13" s="3783"/>
      <c r="C13" s="3596">
        <v>0</v>
      </c>
      <c r="D13" s="3596">
        <v>0</v>
      </c>
      <c r="E13" s="3591">
        <f t="shared" ref="E13:E25" si="0">C13+D13</f>
        <v>0</v>
      </c>
      <c r="F13" s="3591"/>
      <c r="G13" s="3596">
        <f t="shared" ref="G13:G25" si="1">C13</f>
        <v>0</v>
      </c>
      <c r="H13" s="3596">
        <f t="shared" ref="H13:H25" si="2">D13</f>
        <v>0</v>
      </c>
      <c r="I13" s="3591">
        <f t="shared" ref="I13:I25" si="3">G13+H13</f>
        <v>0</v>
      </c>
      <c r="J13" s="3786"/>
      <c r="K13" s="3786"/>
      <c r="L13" s="3786" t="s">
        <v>14</v>
      </c>
    </row>
    <row r="14" spans="1:12" s="3785" customFormat="1" ht="15.5">
      <c r="A14" s="3782" t="s">
        <v>1316</v>
      </c>
      <c r="B14" s="3783"/>
      <c r="C14" s="3596">
        <v>271067499.98000002</v>
      </c>
      <c r="D14" s="3596">
        <v>0</v>
      </c>
      <c r="E14" s="3591">
        <f t="shared" si="0"/>
        <v>271067499.98000002</v>
      </c>
      <c r="F14" s="3591"/>
      <c r="G14" s="3596">
        <f t="shared" si="1"/>
        <v>271067499.98000002</v>
      </c>
      <c r="H14" s="3596">
        <f t="shared" si="2"/>
        <v>0</v>
      </c>
      <c r="I14" s="3591">
        <f t="shared" si="3"/>
        <v>271067499.98000002</v>
      </c>
      <c r="J14" s="3786"/>
      <c r="K14" s="3786"/>
      <c r="L14" s="3786" t="s">
        <v>1175</v>
      </c>
    </row>
    <row r="15" spans="1:12" s="3785" customFormat="1" ht="15.5">
      <c r="A15" s="3782" t="s">
        <v>1317</v>
      </c>
      <c r="B15" s="3783"/>
      <c r="C15" s="3596">
        <v>31952466.059999999</v>
      </c>
      <c r="D15" s="3596">
        <v>0</v>
      </c>
      <c r="E15" s="3591">
        <f t="shared" si="0"/>
        <v>31952466.059999999</v>
      </c>
      <c r="F15" s="3591"/>
      <c r="G15" s="3596">
        <f t="shared" si="1"/>
        <v>31952466.059999999</v>
      </c>
      <c r="H15" s="3596">
        <f t="shared" si="2"/>
        <v>0</v>
      </c>
      <c r="I15" s="3591">
        <f t="shared" si="3"/>
        <v>31952466.059999999</v>
      </c>
      <c r="J15" s="3786"/>
      <c r="K15" s="3786"/>
      <c r="L15" s="3786" t="s">
        <v>14</v>
      </c>
    </row>
    <row r="16" spans="1:12" s="3785" customFormat="1" ht="15.5">
      <c r="A16" s="3782" t="s">
        <v>1318</v>
      </c>
      <c r="B16" s="3783"/>
      <c r="C16" s="3596">
        <v>54215324.049999997</v>
      </c>
      <c r="D16" s="3596">
        <v>0</v>
      </c>
      <c r="E16" s="3591">
        <f t="shared" si="0"/>
        <v>54215324.049999997</v>
      </c>
      <c r="F16" s="3591"/>
      <c r="G16" s="3596">
        <f t="shared" si="1"/>
        <v>54215324.049999997</v>
      </c>
      <c r="H16" s="3596">
        <f t="shared" si="2"/>
        <v>0</v>
      </c>
      <c r="I16" s="3591">
        <f t="shared" si="3"/>
        <v>54215324.049999997</v>
      </c>
      <c r="J16" s="3786"/>
      <c r="K16" s="3786"/>
      <c r="L16" s="3786" t="s">
        <v>14</v>
      </c>
    </row>
    <row r="17" spans="1:12" s="3785" customFormat="1" ht="15.5">
      <c r="A17" s="3782" t="s">
        <v>1310</v>
      </c>
      <c r="B17" s="3783"/>
      <c r="C17" s="3596">
        <v>124569775.15000001</v>
      </c>
      <c r="D17" s="3596">
        <v>0</v>
      </c>
      <c r="E17" s="3591">
        <f t="shared" si="0"/>
        <v>124569775.15000001</v>
      </c>
      <c r="F17" s="3591"/>
      <c r="G17" s="3596">
        <f t="shared" si="1"/>
        <v>124569775.15000001</v>
      </c>
      <c r="H17" s="3596">
        <f t="shared" si="2"/>
        <v>0</v>
      </c>
      <c r="I17" s="3591">
        <f t="shared" si="3"/>
        <v>124569775.15000001</v>
      </c>
      <c r="J17" s="3786"/>
      <c r="K17" s="3786"/>
      <c r="L17" s="3786" t="s">
        <v>1175</v>
      </c>
    </row>
    <row r="18" spans="1:12" s="3785" customFormat="1" ht="15.5">
      <c r="A18" s="3782" t="s">
        <v>1319</v>
      </c>
      <c r="B18" s="3783"/>
      <c r="C18" s="3596">
        <v>1376571793.51</v>
      </c>
      <c r="D18" s="3596">
        <v>0</v>
      </c>
      <c r="E18" s="3591">
        <f t="shared" si="0"/>
        <v>1376571793.51</v>
      </c>
      <c r="F18" s="3591"/>
      <c r="G18" s="3596">
        <f t="shared" si="1"/>
        <v>1376571793.51</v>
      </c>
      <c r="H18" s="3596">
        <f t="shared" si="2"/>
        <v>0</v>
      </c>
      <c r="I18" s="3591">
        <f t="shared" si="3"/>
        <v>1376571793.51</v>
      </c>
      <c r="J18" s="3786"/>
      <c r="K18" s="3786"/>
      <c r="L18" s="3786" t="s">
        <v>14</v>
      </c>
    </row>
    <row r="19" spans="1:12" s="3785" customFormat="1" ht="15.5">
      <c r="A19" s="3782" t="s">
        <v>1320</v>
      </c>
      <c r="B19" s="3783"/>
      <c r="C19" s="3596">
        <v>1583868064.8999999</v>
      </c>
      <c r="D19" s="3596">
        <v>0</v>
      </c>
      <c r="E19" s="3591">
        <f t="shared" si="0"/>
        <v>1583868064.8999999</v>
      </c>
      <c r="F19" s="3591"/>
      <c r="G19" s="3596">
        <f t="shared" si="1"/>
        <v>1583868064.8999999</v>
      </c>
      <c r="H19" s="3596">
        <f t="shared" si="2"/>
        <v>0</v>
      </c>
      <c r="I19" s="3591">
        <f t="shared" si="3"/>
        <v>1583868064.8999999</v>
      </c>
      <c r="J19" s="3786"/>
      <c r="K19" s="3786"/>
      <c r="L19" s="3786" t="s">
        <v>14</v>
      </c>
    </row>
    <row r="20" spans="1:12" s="3785" customFormat="1" ht="15.5">
      <c r="A20" s="3782" t="s">
        <v>1311</v>
      </c>
      <c r="B20" s="3783"/>
      <c r="C20" s="3596">
        <v>33297478.800000001</v>
      </c>
      <c r="D20" s="3596">
        <v>0</v>
      </c>
      <c r="E20" s="3591">
        <f t="shared" si="0"/>
        <v>33297478.800000001</v>
      </c>
      <c r="F20" s="3591"/>
      <c r="G20" s="3596">
        <f t="shared" si="1"/>
        <v>33297478.800000001</v>
      </c>
      <c r="H20" s="3596">
        <f t="shared" si="2"/>
        <v>0</v>
      </c>
      <c r="I20" s="3591">
        <f t="shared" si="3"/>
        <v>33297478.800000001</v>
      </c>
      <c r="J20" s="3786"/>
      <c r="K20" s="3786"/>
      <c r="L20" s="3786" t="s">
        <v>14</v>
      </c>
    </row>
    <row r="21" spans="1:12" s="3785" customFormat="1" ht="15.5">
      <c r="A21" s="3782" t="s">
        <v>1321</v>
      </c>
      <c r="B21" s="3783"/>
      <c r="C21" s="3596">
        <v>39326776.82</v>
      </c>
      <c r="D21" s="3596">
        <v>0</v>
      </c>
      <c r="E21" s="3591">
        <f t="shared" si="0"/>
        <v>39326776.82</v>
      </c>
      <c r="F21" s="3591"/>
      <c r="G21" s="3596">
        <f t="shared" si="1"/>
        <v>39326776.82</v>
      </c>
      <c r="H21" s="3596">
        <f t="shared" si="2"/>
        <v>0</v>
      </c>
      <c r="I21" s="3591">
        <f t="shared" si="3"/>
        <v>39326776.82</v>
      </c>
      <c r="J21" s="3786"/>
      <c r="K21" s="3786"/>
      <c r="L21" s="3786" t="s">
        <v>14</v>
      </c>
    </row>
    <row r="22" spans="1:12" s="3785" customFormat="1" ht="15.5">
      <c r="A22" s="3782" t="s">
        <v>1322</v>
      </c>
      <c r="B22" s="3783"/>
      <c r="C22" s="3596">
        <v>880937.82000000007</v>
      </c>
      <c r="D22" s="3596">
        <v>0</v>
      </c>
      <c r="E22" s="3591">
        <f t="shared" si="0"/>
        <v>880937.82000000007</v>
      </c>
      <c r="F22" s="3591"/>
      <c r="G22" s="3596">
        <f t="shared" si="1"/>
        <v>880937.82000000007</v>
      </c>
      <c r="H22" s="3596">
        <f t="shared" si="2"/>
        <v>0</v>
      </c>
      <c r="I22" s="3591">
        <f t="shared" si="3"/>
        <v>880937.82000000007</v>
      </c>
      <c r="J22" s="3786"/>
      <c r="K22" s="3786"/>
      <c r="L22" s="3786" t="s">
        <v>14</v>
      </c>
    </row>
    <row r="23" spans="1:12" s="3785" customFormat="1" ht="15.5">
      <c r="A23" s="3782" t="s">
        <v>1347</v>
      </c>
      <c r="B23" s="3783"/>
      <c r="C23" s="3596">
        <v>5055348.9400000004</v>
      </c>
      <c r="D23" s="3596">
        <v>0</v>
      </c>
      <c r="E23" s="3591">
        <f t="shared" si="0"/>
        <v>5055348.9400000004</v>
      </c>
      <c r="F23" s="3591"/>
      <c r="G23" s="3596">
        <f t="shared" si="1"/>
        <v>5055348.9400000004</v>
      </c>
      <c r="H23" s="3596">
        <f t="shared" si="2"/>
        <v>0</v>
      </c>
      <c r="I23" s="3591">
        <f t="shared" si="3"/>
        <v>5055348.9400000004</v>
      </c>
      <c r="J23" s="3786"/>
      <c r="K23" s="3786"/>
      <c r="L23" s="3786" t="s">
        <v>14</v>
      </c>
    </row>
    <row r="24" spans="1:12" s="3785" customFormat="1" ht="15.5">
      <c r="A24" s="3782" t="s">
        <v>1323</v>
      </c>
      <c r="B24" s="3783"/>
      <c r="C24" s="3596">
        <v>-24881059.5</v>
      </c>
      <c r="D24" s="3596">
        <v>0</v>
      </c>
      <c r="E24" s="3591">
        <f t="shared" si="0"/>
        <v>-24881059.5</v>
      </c>
      <c r="F24" s="3591"/>
      <c r="G24" s="3596">
        <f t="shared" si="1"/>
        <v>-24881059.5</v>
      </c>
      <c r="H24" s="3596">
        <f t="shared" si="2"/>
        <v>0</v>
      </c>
      <c r="I24" s="3591">
        <f t="shared" si="3"/>
        <v>-24881059.5</v>
      </c>
      <c r="J24" s="3786"/>
      <c r="K24" s="3786"/>
      <c r="L24" s="3786" t="s">
        <v>14</v>
      </c>
    </row>
    <row r="25" spans="1:12" s="3785" customFormat="1" ht="15.75" customHeight="1">
      <c r="A25" s="3782" t="s">
        <v>1374</v>
      </c>
      <c r="B25" s="3783"/>
      <c r="C25" s="3596">
        <v>0</v>
      </c>
      <c r="D25" s="3596">
        <v>0</v>
      </c>
      <c r="E25" s="3591">
        <f t="shared" si="0"/>
        <v>0</v>
      </c>
      <c r="F25" s="3591"/>
      <c r="G25" s="3596">
        <f t="shared" si="1"/>
        <v>0</v>
      </c>
      <c r="H25" s="3596">
        <f t="shared" si="2"/>
        <v>0</v>
      </c>
      <c r="I25" s="3591">
        <f t="shared" si="3"/>
        <v>0</v>
      </c>
      <c r="J25" s="3786"/>
      <c r="K25" s="3786"/>
      <c r="L25" s="3786" t="s">
        <v>14</v>
      </c>
    </row>
    <row r="26" spans="1:12" s="3781" customFormat="1" ht="17.5">
      <c r="A26" s="3789" t="s">
        <v>1343</v>
      </c>
      <c r="B26" s="3744"/>
      <c r="C26" s="3597">
        <f>SUM(C11:C25)</f>
        <v>3507424674.8800006</v>
      </c>
      <c r="D26" s="3597">
        <f>SUM(D11:D25)</f>
        <v>0</v>
      </c>
      <c r="E26" s="3597">
        <f>SUM(E11:E25)</f>
        <v>3507424674.8800006</v>
      </c>
      <c r="F26" s="3747"/>
      <c r="G26" s="3597">
        <f>SUM(G11:G25)</f>
        <v>3507424674.8800006</v>
      </c>
      <c r="H26" s="3597">
        <f>SUM(H11:H25)</f>
        <v>0</v>
      </c>
      <c r="I26" s="3597">
        <f>SUM(I11:I25)</f>
        <v>3507424674.8800006</v>
      </c>
      <c r="J26" s="3818"/>
      <c r="K26" s="3786"/>
      <c r="L26" s="3786" t="s">
        <v>14</v>
      </c>
    </row>
    <row r="27" spans="1:12" ht="6" customHeight="1">
      <c r="A27" s="3819"/>
      <c r="B27" s="3627"/>
      <c r="C27" s="3748"/>
      <c r="D27" s="3748"/>
      <c r="E27" s="3748"/>
      <c r="F27" s="3748"/>
      <c r="G27" s="3625"/>
      <c r="H27" s="3625"/>
      <c r="I27" s="3625"/>
      <c r="K27" s="3820"/>
    </row>
    <row r="28" spans="1:12" ht="42" customHeight="1">
      <c r="A28" s="3792" t="s">
        <v>1358</v>
      </c>
      <c r="B28" s="3627"/>
      <c r="C28" s="3864">
        <v>-136244122.09</v>
      </c>
      <c r="D28" s="3868">
        <v>0</v>
      </c>
      <c r="E28" s="3869">
        <f>C28+D28</f>
        <v>-136244122.09</v>
      </c>
      <c r="F28" s="3870"/>
      <c r="G28" s="3852">
        <f>E28</f>
        <v>-136244122.09</v>
      </c>
      <c r="H28" s="3871">
        <v>0</v>
      </c>
      <c r="I28" s="3872">
        <f>G28+H28</f>
        <v>-136244122.09</v>
      </c>
      <c r="J28" s="3809" t="s">
        <v>14</v>
      </c>
      <c r="K28" s="3860" t="s">
        <v>14</v>
      </c>
    </row>
    <row r="29" spans="1:12" ht="15.65" customHeight="1">
      <c r="A29" s="3793"/>
      <c r="B29" s="3627"/>
      <c r="C29" s="3855"/>
      <c r="D29" s="3855"/>
      <c r="E29" s="3855"/>
      <c r="F29" s="3855"/>
      <c r="G29" s="3856"/>
      <c r="H29" s="3856"/>
      <c r="I29" s="3856"/>
      <c r="K29" s="3811"/>
    </row>
    <row r="30" spans="1:12" ht="18" thickBot="1">
      <c r="A30" s="3793" t="s">
        <v>1344</v>
      </c>
      <c r="B30" s="3627"/>
      <c r="C30" s="3629">
        <f>+C26+C28</f>
        <v>3371180552.7900004</v>
      </c>
      <c r="D30" s="3629">
        <f>D26</f>
        <v>0</v>
      </c>
      <c r="E30" s="3629">
        <f>E26+E28</f>
        <v>3371180552.7900004</v>
      </c>
      <c r="F30" s="3746"/>
      <c r="G30" s="3629">
        <f>+G26+G28</f>
        <v>3371180552.7900004</v>
      </c>
      <c r="H30" s="3629">
        <f>H26</f>
        <v>0</v>
      </c>
      <c r="I30" s="3629">
        <f>I26+I28</f>
        <v>3371180552.7900004</v>
      </c>
      <c r="J30" s="3814"/>
      <c r="K30" s="3811"/>
    </row>
    <row r="31" spans="1:12" ht="15" thickTop="1"/>
    <row r="32" spans="1:12" ht="16.399999999999999" customHeight="1">
      <c r="A32" s="3798" t="s">
        <v>1363</v>
      </c>
      <c r="D32" s="3812"/>
      <c r="G32" s="3852"/>
      <c r="I32" s="3801" t="s">
        <v>14</v>
      </c>
    </row>
    <row r="33" spans="1:9" ht="16.399999999999999" customHeight="1">
      <c r="A33" s="3802" t="s">
        <v>1365</v>
      </c>
      <c r="C33" s="3803"/>
      <c r="D33" s="3803"/>
      <c r="E33" s="3584"/>
      <c r="F33" s="3585"/>
      <c r="G33" s="3807"/>
      <c r="H33" s="3807"/>
      <c r="I33" s="3586"/>
    </row>
    <row r="34" spans="1:9" ht="14.9" customHeight="1">
      <c r="A34" s="3808" t="s">
        <v>1364</v>
      </c>
      <c r="G34" s="3811"/>
      <c r="I34" s="3814"/>
    </row>
    <row r="35" spans="1:9" ht="16.399999999999999" customHeight="1">
      <c r="A35" s="3808" t="s">
        <v>1349</v>
      </c>
      <c r="G35" s="3625"/>
    </row>
    <row r="36" spans="1:9" ht="16.399999999999999" customHeight="1">
      <c r="A36" s="3808" t="s">
        <v>1350</v>
      </c>
      <c r="G36" s="3811"/>
    </row>
    <row r="39" spans="1:9">
      <c r="A39" s="3822" t="s">
        <v>14</v>
      </c>
      <c r="C39" s="3810"/>
      <c r="E39" s="3846"/>
    </row>
    <row r="40" spans="1:9">
      <c r="A40" s="3971"/>
      <c r="B40" s="3971"/>
      <c r="C40" s="3810"/>
      <c r="I40" s="3801" t="s">
        <v>14</v>
      </c>
    </row>
    <row r="41" spans="1:9">
      <c r="I41" s="3801" t="s">
        <v>14</v>
      </c>
    </row>
    <row r="47" spans="1:9" ht="11.9" customHeight="1"/>
  </sheetData>
  <mergeCells count="3">
    <mergeCell ref="C7:E7"/>
    <mergeCell ref="G7:I7"/>
    <mergeCell ref="A40:B40"/>
  </mergeCells>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90" workbookViewId="0"/>
  </sheetViews>
  <sheetFormatPr defaultColWidth="8.765625" defaultRowHeight="15.5"/>
  <cols>
    <col min="1" max="1" width="44.765625" style="41" customWidth="1"/>
    <col min="2" max="2" width="13.765625" style="41" customWidth="1"/>
    <col min="3" max="3" width="1.765625" style="41" customWidth="1"/>
    <col min="4" max="4" width="13.765625" style="41" customWidth="1"/>
    <col min="5" max="5" width="1.53515625" style="41" customWidth="1"/>
    <col min="6" max="6" width="13.765625" style="41" customWidth="1"/>
    <col min="7" max="7" width="1.765625" style="41" customWidth="1"/>
    <col min="8" max="8" width="13.765625" style="41" customWidth="1"/>
    <col min="9" max="9" width="0.765625" style="41" customWidth="1"/>
    <col min="10" max="10" width="12.765625" style="41" customWidth="1"/>
    <col min="11" max="11" width="1.53515625" style="41" customWidth="1"/>
    <col min="12" max="12" width="13.765625" style="41" customWidth="1"/>
    <col min="13" max="13" width="1" style="41" customWidth="1"/>
    <col min="14" max="14" width="13.4609375" style="1706" customWidth="1"/>
    <col min="15" max="15" width="1.07421875" style="1706" customWidth="1"/>
    <col min="16" max="16" width="13.07421875" style="1706" customWidth="1"/>
    <col min="17" max="17" width="1.53515625" style="41" customWidth="1"/>
    <col min="18" max="18" width="1" style="104" customWidth="1"/>
    <col min="19" max="19" width="11.765625" style="41" customWidth="1"/>
    <col min="20" max="20" width="0.765625" style="104" customWidth="1"/>
    <col min="21" max="21" width="10.765625" style="41" customWidth="1"/>
    <col min="22" max="22" width="0.4609375" style="104" customWidth="1"/>
    <col min="23" max="16384" width="8.765625" style="41"/>
  </cols>
  <sheetData>
    <row r="1" spans="1:254">
      <c r="A1" s="640" t="s">
        <v>885</v>
      </c>
    </row>
    <row r="2" spans="1:254">
      <c r="A2" s="818"/>
    </row>
    <row r="3" spans="1:254" s="34" customFormat="1" ht="18" customHeight="1">
      <c r="A3" s="29" t="s">
        <v>0</v>
      </c>
      <c r="B3" s="29"/>
      <c r="C3" s="29"/>
      <c r="D3" s="29"/>
      <c r="E3" s="29"/>
      <c r="F3" s="30"/>
      <c r="G3" s="30"/>
      <c r="H3" s="29"/>
      <c r="I3" s="29"/>
      <c r="J3" s="29"/>
      <c r="K3" s="29"/>
      <c r="L3" s="29"/>
      <c r="M3" s="29"/>
      <c r="N3" s="3481"/>
      <c r="O3" s="3919"/>
      <c r="P3" s="3919"/>
      <c r="Q3" s="1342"/>
      <c r="R3" s="1342"/>
      <c r="S3" s="31"/>
      <c r="T3" s="33"/>
      <c r="U3" s="3920" t="s">
        <v>60</v>
      </c>
      <c r="V3" s="3920"/>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351</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3" t="s">
        <v>795</v>
      </c>
      <c r="B5" s="29"/>
      <c r="C5" s="29"/>
      <c r="D5" s="29"/>
      <c r="E5" s="29"/>
      <c r="F5" s="30"/>
      <c r="G5" s="30"/>
      <c r="H5" s="29"/>
      <c r="I5" s="29"/>
      <c r="J5" s="29"/>
      <c r="K5" s="29"/>
      <c r="L5" s="29"/>
      <c r="M5" s="29"/>
      <c r="N5" s="105"/>
      <c r="O5" s="105"/>
      <c r="P5" s="105" t="s">
        <v>14</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1280</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1"/>
      <c r="L11" s="1344"/>
      <c r="M11" s="211"/>
      <c r="N11" s="734"/>
      <c r="O11" s="734"/>
      <c r="P11" s="734"/>
      <c r="Q11" s="731"/>
      <c r="R11" s="748"/>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1"/>
      <c r="C12" s="731" t="s">
        <v>61</v>
      </c>
      <c r="D12" s="731"/>
      <c r="E12" s="29"/>
      <c r="F12" s="731"/>
      <c r="G12" s="731" t="s">
        <v>62</v>
      </c>
      <c r="H12" s="731"/>
      <c r="I12" s="29"/>
      <c r="J12" s="731"/>
      <c r="K12" s="731"/>
      <c r="L12" s="1344"/>
      <c r="M12" s="731" t="s">
        <v>63</v>
      </c>
      <c r="N12" s="734"/>
      <c r="O12" s="734"/>
      <c r="P12" s="734"/>
      <c r="Q12" s="731"/>
      <c r="R12" s="748"/>
      <c r="S12" s="2219" t="s">
        <v>816</v>
      </c>
      <c r="T12" s="2220"/>
      <c r="U12" s="2220"/>
      <c r="V12" s="39"/>
      <c r="W12" s="40"/>
      <c r="X12" s="40"/>
    </row>
    <row r="13" spans="1:254" ht="13.4" customHeight="1">
      <c r="A13" s="31"/>
      <c r="B13" s="42"/>
      <c r="C13" s="42"/>
      <c r="D13" s="42"/>
      <c r="E13" s="31"/>
      <c r="F13" s="42"/>
      <c r="G13" s="43"/>
      <c r="H13" s="42"/>
      <c r="I13" s="31"/>
      <c r="J13" s="42"/>
      <c r="K13" s="42"/>
      <c r="L13" s="42"/>
      <c r="M13" s="42"/>
      <c r="N13" s="3485"/>
      <c r="O13" s="3485"/>
      <c r="P13" s="3485"/>
      <c r="Q13" s="36"/>
      <c r="R13" s="978"/>
      <c r="S13" s="38"/>
      <c r="T13" s="44"/>
      <c r="U13" s="40"/>
      <c r="V13" s="44"/>
      <c r="W13" s="40"/>
      <c r="X13" s="40"/>
    </row>
    <row r="14" spans="1:254" ht="16.399999999999999" customHeight="1">
      <c r="A14" s="31"/>
      <c r="B14" s="731" t="s">
        <v>6</v>
      </c>
      <c r="C14" s="29"/>
      <c r="D14" s="731" t="str">
        <f>'Exhibit A'!F11</f>
        <v>1 MO. ENDED</v>
      </c>
      <c r="E14" s="29"/>
      <c r="F14" s="731" t="s">
        <v>6</v>
      </c>
      <c r="G14" s="209"/>
      <c r="H14" s="731" t="str">
        <f>D14</f>
        <v>1 MO. ENDED</v>
      </c>
      <c r="I14" s="29"/>
      <c r="J14" s="731" t="s">
        <v>6</v>
      </c>
      <c r="K14" s="29"/>
      <c r="L14" s="731" t="str">
        <f>D14</f>
        <v>1 MO. ENDED</v>
      </c>
      <c r="M14" s="29"/>
      <c r="N14" s="734" t="s">
        <v>6</v>
      </c>
      <c r="O14" s="105"/>
      <c r="P14" s="734" t="str">
        <f>H14</f>
        <v>1 MO. ENDED</v>
      </c>
      <c r="Q14" s="731"/>
      <c r="R14" s="979"/>
      <c r="S14" s="742" t="s">
        <v>7</v>
      </c>
      <c r="T14" s="210"/>
      <c r="U14" s="743" t="s">
        <v>8</v>
      </c>
      <c r="V14" s="44"/>
      <c r="W14" s="40"/>
      <c r="X14" s="40"/>
    </row>
    <row r="15" spans="1:254" ht="16.399999999999999" customHeight="1">
      <c r="A15" s="31"/>
      <c r="B15" s="732" t="str">
        <f>'Exhibit A'!D12</f>
        <v>APR. 2021</v>
      </c>
      <c r="C15" s="29"/>
      <c r="D15" s="733" t="str">
        <f>'Exhibit A'!F12</f>
        <v>APR. 30, 2021</v>
      </c>
      <c r="E15" s="29"/>
      <c r="F15" s="731" t="str">
        <f>B15</f>
        <v>APR. 2021</v>
      </c>
      <c r="G15" s="29"/>
      <c r="H15" s="731" t="str">
        <f>D15</f>
        <v>APR. 30, 2021</v>
      </c>
      <c r="I15" s="29"/>
      <c r="J15" s="731" t="str">
        <f>B15</f>
        <v>APR. 2021</v>
      </c>
      <c r="K15" s="29"/>
      <c r="L15" s="731" t="str">
        <f>D15</f>
        <v>APR. 30, 2021</v>
      </c>
      <c r="M15" s="29"/>
      <c r="N15" s="3482" t="str">
        <f>'Exhibit A'!AB12</f>
        <v>APR. 2020</v>
      </c>
      <c r="O15" s="105"/>
      <c r="P15" s="3826" t="str">
        <f>'Exhibit A'!AD12</f>
        <v>APR. 30, 2020</v>
      </c>
      <c r="Q15" s="730"/>
      <c r="R15" s="980"/>
      <c r="S15" s="745" t="s">
        <v>11</v>
      </c>
      <c r="T15" s="209"/>
      <c r="U15" s="746" t="s">
        <v>12</v>
      </c>
      <c r="V15" s="44"/>
      <c r="W15" s="40"/>
      <c r="X15" s="40"/>
    </row>
    <row r="16" spans="1:254" ht="13.4" customHeight="1">
      <c r="A16" s="31"/>
      <c r="B16" s="42"/>
      <c r="C16" s="31"/>
      <c r="D16" s="42" t="s">
        <v>14</v>
      </c>
      <c r="E16" s="31"/>
      <c r="F16" s="42"/>
      <c r="G16" s="31"/>
      <c r="H16" s="43" t="s">
        <v>14</v>
      </c>
      <c r="I16" s="45"/>
      <c r="J16" s="46"/>
      <c r="K16" s="31"/>
      <c r="L16" s="42"/>
      <c r="M16" s="45"/>
      <c r="N16" s="109"/>
      <c r="O16" s="107"/>
      <c r="P16" s="109"/>
      <c r="Q16" s="36"/>
      <c r="R16" s="978"/>
      <c r="S16" s="38"/>
      <c r="T16" s="36"/>
      <c r="U16" s="40"/>
      <c r="V16" s="36"/>
      <c r="W16" s="40"/>
      <c r="X16" s="40"/>
    </row>
    <row r="17" spans="1:247" ht="16.399999999999999" customHeight="1">
      <c r="A17" s="29" t="s">
        <v>13</v>
      </c>
      <c r="B17" s="47"/>
      <c r="C17" s="47"/>
      <c r="D17" s="47"/>
      <c r="E17" s="47"/>
      <c r="F17" s="47"/>
      <c r="G17" s="47"/>
      <c r="H17" s="47"/>
      <c r="I17" s="48"/>
      <c r="J17" s="48"/>
      <c r="K17" s="47"/>
      <c r="L17" s="47"/>
      <c r="M17" s="48"/>
      <c r="N17" s="3459"/>
      <c r="O17" s="3486"/>
      <c r="P17" s="3825"/>
      <c r="Q17" s="49"/>
      <c r="R17" s="981"/>
      <c r="S17" s="38"/>
      <c r="T17" s="49"/>
      <c r="U17" s="40"/>
      <c r="V17" s="49"/>
      <c r="W17" s="40"/>
      <c r="X17" s="40"/>
    </row>
    <row r="18" spans="1:247" ht="16.399999999999999" customHeight="1">
      <c r="A18" s="31" t="s">
        <v>19</v>
      </c>
      <c r="B18" s="654">
        <f>'Exhibit J'!C19</f>
        <v>261.8</v>
      </c>
      <c r="C18" s="654"/>
      <c r="D18" s="965">
        <f>+'Exhibit J'!AB19</f>
        <v>261.8</v>
      </c>
      <c r="E18" s="654"/>
      <c r="F18" s="965">
        <f>'Exhibit K'!B17</f>
        <v>55.2</v>
      </c>
      <c r="G18" s="654"/>
      <c r="H18" s="965">
        <f>+'Exhibit K'!AA17</f>
        <v>55.2</v>
      </c>
      <c r="I18" s="1206"/>
      <c r="J18" s="1206">
        <f>ROUND(SUM(B18)+SUM(F18),1)</f>
        <v>317</v>
      </c>
      <c r="K18" s="654"/>
      <c r="L18" s="1379">
        <f>ROUND(SUM(D18)+SUM(H18),1)</f>
        <v>317</v>
      </c>
      <c r="M18" s="1206"/>
      <c r="N18" s="1009">
        <v>29.400000000000006</v>
      </c>
      <c r="O18" s="1009"/>
      <c r="P18" s="1009">
        <f>'Exhibit J'!AE19+'Exhibit K'!AD17</f>
        <v>29.400000000000016</v>
      </c>
      <c r="Q18" s="965"/>
      <c r="R18" s="1380"/>
      <c r="S18" s="654">
        <f>ROUND(SUM(L18-P18),1)</f>
        <v>287.60000000000002</v>
      </c>
      <c r="T18" s="1190"/>
      <c r="U18" s="1425">
        <f>ROUND(+S18/P18,3)</f>
        <v>9.782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14" t="s">
        <v>64</v>
      </c>
      <c r="B19" s="639">
        <f>'Exhibit J'!C20</f>
        <v>4691.3999999999996</v>
      </c>
      <c r="C19" s="639"/>
      <c r="D19" s="937">
        <f>+'Exhibit J'!AB20</f>
        <v>4691.3999999999996</v>
      </c>
      <c r="E19" s="639"/>
      <c r="F19" s="655">
        <v>0</v>
      </c>
      <c r="G19" s="639"/>
      <c r="H19" s="655">
        <v>0</v>
      </c>
      <c r="I19" s="1381"/>
      <c r="J19" s="1382">
        <f>ROUND(SUM(B19)+SUM(F19),1)</f>
        <v>4691.3999999999996</v>
      </c>
      <c r="K19" s="665"/>
      <c r="L19" s="937">
        <f>ROUND(SUM(D19)+SUM(H19),1)</f>
        <v>4691.3999999999996</v>
      </c>
      <c r="M19" s="1383"/>
      <c r="N19" s="1018">
        <v>2584</v>
      </c>
      <c r="O19" s="1018"/>
      <c r="P19" s="1018">
        <f>'Exhibit J'!AE20</f>
        <v>2584</v>
      </c>
      <c r="Q19" s="937"/>
      <c r="R19" s="1384"/>
      <c r="S19" s="639">
        <f>ROUND(SUM(L19-P19),1)</f>
        <v>2107.4</v>
      </c>
      <c r="T19" s="1385"/>
      <c r="U19" s="1511">
        <f>ROUND(+S19/P19,3)</f>
        <v>0.81599999999999995</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65</v>
      </c>
      <c r="B20" s="639">
        <f>'Exhibit J'!C21</f>
        <v>218.5</v>
      </c>
      <c r="C20" s="639"/>
      <c r="D20" s="937">
        <f>+'Exhibit J'!AB21</f>
        <v>218.5</v>
      </c>
      <c r="E20" s="639"/>
      <c r="F20" s="655">
        <v>0</v>
      </c>
      <c r="G20" s="639"/>
      <c r="H20" s="655">
        <v>0</v>
      </c>
      <c r="I20" s="1381"/>
      <c r="J20" s="1386">
        <f>ROUND(SUM(B20+F20),1)</f>
        <v>218.5</v>
      </c>
      <c r="K20" s="665"/>
      <c r="L20" s="937">
        <f>ROUND(SUM(D20)+SUM(H20),1)</f>
        <v>218.5</v>
      </c>
      <c r="M20" s="1383"/>
      <c r="N20" s="1018">
        <v>1823.9</v>
      </c>
      <c r="O20" s="3484"/>
      <c r="P20" s="1018">
        <f>'Exhibit J'!AE21</f>
        <v>1823.9</v>
      </c>
      <c r="Q20" s="937"/>
      <c r="R20" s="1384"/>
      <c r="S20" s="639">
        <f>ROUND(SUM(L20-P20),1)</f>
        <v>-1605.4</v>
      </c>
      <c r="T20" s="1385"/>
      <c r="U20" s="3633">
        <f>ROUND(+S20/P20,3)</f>
        <v>-0.88</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21</v>
      </c>
      <c r="B21" s="3409">
        <f>ROUND(SUM(B18:B20),1)</f>
        <v>5171.7</v>
      </c>
      <c r="C21" s="916"/>
      <c r="D21" s="61">
        <f>ROUND(SUM(D18:D20),1)</f>
        <v>5171.7</v>
      </c>
      <c r="E21" s="916"/>
      <c r="F21" s="61">
        <f>ROUND(SUM(F18:F20),1)</f>
        <v>55.2</v>
      </c>
      <c r="G21" s="916"/>
      <c r="H21" s="61">
        <f>ROUND(SUM(H18:H20),1)</f>
        <v>55.2</v>
      </c>
      <c r="I21" s="63"/>
      <c r="J21" s="61">
        <f>SUM(J18:J20)</f>
        <v>5226.8999999999996</v>
      </c>
      <c r="K21" s="916"/>
      <c r="L21" s="61">
        <f>SUM(L18:L20)</f>
        <v>5226.8999999999996</v>
      </c>
      <c r="M21" s="64"/>
      <c r="N21" s="3409">
        <f>ROUND(SUM(N18:N20),1)</f>
        <v>4437.3</v>
      </c>
      <c r="O21" s="112"/>
      <c r="P21" s="3409">
        <f>ROUND(SUM(P18:P20),1)</f>
        <v>4437.3</v>
      </c>
      <c r="Q21" s="76"/>
      <c r="R21" s="335"/>
      <c r="S21" s="61">
        <f>ROUND(SUM(S18:S20),1)</f>
        <v>789.6</v>
      </c>
      <c r="T21" s="663"/>
      <c r="U21" s="3662">
        <f>ROUND(+S21/P21,3)</f>
        <v>0.17799999999999999</v>
      </c>
      <c r="V21" s="59"/>
      <c r="W21" s="40"/>
      <c r="X21" s="40"/>
    </row>
    <row r="22" spans="1:247">
      <c r="A22" s="29"/>
      <c r="B22" s="639"/>
      <c r="C22" s="639"/>
      <c r="D22" s="639"/>
      <c r="E22" s="639"/>
      <c r="F22" s="639"/>
      <c r="G22" s="639"/>
      <c r="H22" s="639"/>
      <c r="I22" s="1382"/>
      <c r="J22" s="1382"/>
      <c r="K22" s="639"/>
      <c r="L22" s="639"/>
      <c r="M22" s="1382"/>
      <c r="N22" s="1018"/>
      <c r="O22" s="889"/>
      <c r="P22" s="1018"/>
      <c r="Q22" s="937"/>
      <c r="R22" s="1384"/>
      <c r="S22" s="914"/>
      <c r="T22" s="1387"/>
      <c r="U22" s="1426"/>
      <c r="V22" s="49"/>
      <c r="W22" s="40"/>
      <c r="X22" s="40"/>
    </row>
    <row r="23" spans="1:247" ht="16.399999999999999" customHeight="1">
      <c r="A23" s="29" t="s">
        <v>22</v>
      </c>
      <c r="B23" s="639"/>
      <c r="C23" s="639"/>
      <c r="D23" s="639"/>
      <c r="E23" s="639"/>
      <c r="F23" s="639"/>
      <c r="G23" s="639"/>
      <c r="H23" s="639"/>
      <c r="I23" s="1382"/>
      <c r="J23" s="1382"/>
      <c r="K23" s="639"/>
      <c r="L23" s="639"/>
      <c r="M23" s="1382"/>
      <c r="N23" s="1018"/>
      <c r="O23" s="889"/>
      <c r="P23" s="1018"/>
      <c r="Q23" s="937"/>
      <c r="R23" s="1384"/>
      <c r="S23" s="914"/>
      <c r="T23" s="1387"/>
      <c r="U23" s="1426"/>
      <c r="V23" s="49"/>
      <c r="W23" s="40"/>
      <c r="X23" s="40"/>
    </row>
    <row r="24" spans="1:247" ht="16.399999999999999" customHeight="1">
      <c r="A24" s="31" t="s">
        <v>35</v>
      </c>
      <c r="B24" s="639"/>
      <c r="C24" s="639"/>
      <c r="D24" s="639"/>
      <c r="E24" s="639"/>
      <c r="F24" s="639"/>
      <c r="G24" s="639"/>
      <c r="H24" s="639"/>
      <c r="I24" s="1382"/>
      <c r="J24" s="1382"/>
      <c r="K24" s="639"/>
      <c r="L24" s="639"/>
      <c r="M24" s="1382"/>
      <c r="N24" s="1018"/>
      <c r="O24" s="889"/>
      <c r="P24" s="1018"/>
      <c r="Q24" s="937"/>
      <c r="R24" s="1384"/>
      <c r="S24" s="914"/>
      <c r="T24" s="1387"/>
      <c r="U24" s="1426"/>
      <c r="V24" s="49"/>
      <c r="W24" s="40"/>
      <c r="X24" s="40"/>
    </row>
    <row r="25" spans="1:247" ht="16.399999999999999" customHeight="1">
      <c r="A25" s="31" t="s">
        <v>66</v>
      </c>
      <c r="B25" s="639">
        <f>'Exhibit J'!C28</f>
        <v>128.30000000000001</v>
      </c>
      <c r="C25" s="639"/>
      <c r="D25" s="937">
        <f>+'Exhibit J'!AB28</f>
        <v>128.30000000000001</v>
      </c>
      <c r="E25" s="639"/>
      <c r="F25" s="639">
        <f>'Exhibit K'!B24</f>
        <v>9.6999999999999993</v>
      </c>
      <c r="G25" s="639"/>
      <c r="H25" s="639">
        <f>+'Exhibit K'!AA24</f>
        <v>9.6999999999999993</v>
      </c>
      <c r="I25" s="1382"/>
      <c r="J25" s="1382">
        <f>ROUND(SUM(B25)+SUM(F25),1)</f>
        <v>138</v>
      </c>
      <c r="K25" s="639"/>
      <c r="L25" s="937">
        <f>ROUND(SUM(D25)+SUM(H25),1)</f>
        <v>138</v>
      </c>
      <c r="M25" s="1382"/>
      <c r="N25" s="1018">
        <v>15.900000000000006</v>
      </c>
      <c r="O25" s="1018"/>
      <c r="P25" s="1018">
        <f>'Exhibit J'!AE28+'Exhibit K'!AD24</f>
        <v>15.899999999999995</v>
      </c>
      <c r="Q25" s="937"/>
      <c r="R25" s="1384"/>
      <c r="S25" s="639">
        <f>ROUND(SUM(L25-P25),1)</f>
        <v>122.1</v>
      </c>
      <c r="T25" s="663"/>
      <c r="U25" s="1425">
        <f>ROUND(+S25/P25,3)</f>
        <v>7.6790000000000003</v>
      </c>
      <c r="V25" s="49"/>
      <c r="W25" s="40"/>
      <c r="X25" s="40"/>
    </row>
    <row r="26" spans="1:247" ht="16.399999999999999" customHeight="1">
      <c r="A26" s="31" t="s">
        <v>67</v>
      </c>
      <c r="B26" s="639">
        <f>'Exhibit J'!C29</f>
        <v>22.1</v>
      </c>
      <c r="C26" s="639"/>
      <c r="D26" s="937">
        <f>+'Exhibit J'!AB29</f>
        <v>22.1</v>
      </c>
      <c r="E26" s="639"/>
      <c r="F26" s="639">
        <f>'Exhibit K'!B25</f>
        <v>31.1</v>
      </c>
      <c r="G26" s="639"/>
      <c r="H26" s="639">
        <f>+'Exhibit K'!AA25</f>
        <v>31.1</v>
      </c>
      <c r="I26" s="1382"/>
      <c r="J26" s="1382">
        <f>ROUND(SUM(B26)+SUM(F26),1)</f>
        <v>53.2</v>
      </c>
      <c r="K26" s="639"/>
      <c r="L26" s="937">
        <f>ROUND(SUM(D26)+SUM(H26),1)</f>
        <v>53.2</v>
      </c>
      <c r="M26" s="1382"/>
      <c r="N26" s="1018">
        <v>-5.6999999999999993</v>
      </c>
      <c r="O26" s="1018"/>
      <c r="P26" s="1018">
        <f>'Exhibit J'!AE29+'Exhibit K'!AD25</f>
        <v>-5.6999999999999993</v>
      </c>
      <c r="Q26" s="937"/>
      <c r="R26" s="1384"/>
      <c r="S26" s="639">
        <f>ROUND(SUM(L26-P26),1)</f>
        <v>58.9</v>
      </c>
      <c r="T26" s="663"/>
      <c r="U26" s="3633">
        <f>ROUND(+S26/P26,3)</f>
        <v>-10.333</v>
      </c>
      <c r="V26" s="49"/>
      <c r="W26" s="40"/>
      <c r="X26" s="40"/>
    </row>
    <row r="27" spans="1:247" ht="16.399999999999999" customHeight="1">
      <c r="A27" s="31" t="s">
        <v>68</v>
      </c>
      <c r="B27" s="639">
        <f>'Exhibit J'!C30</f>
        <v>54.3</v>
      </c>
      <c r="C27" s="639"/>
      <c r="D27" s="937">
        <f>+'Exhibit J'!AB30</f>
        <v>54.3</v>
      </c>
      <c r="E27" s="937"/>
      <c r="F27" s="639">
        <f>'Exhibit K'!B26</f>
        <v>2.7</v>
      </c>
      <c r="G27" s="639"/>
      <c r="H27" s="1388">
        <f>+'Exhibit K'!AA26</f>
        <v>2.7</v>
      </c>
      <c r="I27" s="937"/>
      <c r="J27" s="1382">
        <f>ROUND(SUM(B27)+SUM(F27),1)</f>
        <v>57</v>
      </c>
      <c r="K27" s="639"/>
      <c r="L27" s="937">
        <f>ROUND(SUM(D27)+SUM(H27),1)</f>
        <v>57</v>
      </c>
      <c r="M27" s="1382"/>
      <c r="N27" s="1018">
        <v>4.9999999999999929</v>
      </c>
      <c r="O27" s="3484"/>
      <c r="P27" s="1018">
        <f>'Exhibit J'!AE30+'Exhibit K'!AD26</f>
        <v>4.9999999999999956</v>
      </c>
      <c r="Q27" s="937"/>
      <c r="R27" s="1384"/>
      <c r="S27" s="639">
        <f>ROUND(SUM(L27-P27),1)</f>
        <v>52</v>
      </c>
      <c r="T27" s="663"/>
      <c r="U27" s="3633">
        <f>ROUND(+S27/P27,3)</f>
        <v>10.4</v>
      </c>
      <c r="V27" s="49"/>
      <c r="W27" s="40"/>
      <c r="X27" s="40"/>
    </row>
    <row r="28" spans="1:247" ht="15.75" customHeight="1">
      <c r="A28" s="814" t="s">
        <v>69</v>
      </c>
      <c r="B28" s="639">
        <f>'Exhibit J'!C31</f>
        <v>4967.1000000000004</v>
      </c>
      <c r="C28" s="639"/>
      <c r="D28" s="937">
        <f>+'Exhibit J'!AB31</f>
        <v>4967.1000000000004</v>
      </c>
      <c r="E28" s="639"/>
      <c r="F28" s="940">
        <v>0</v>
      </c>
      <c r="G28" s="639"/>
      <c r="H28" s="1390">
        <v>0</v>
      </c>
      <c r="I28" s="937"/>
      <c r="J28" s="1382">
        <f>ROUND(SUM(B28)+SUM(F28),1)</f>
        <v>4967.1000000000004</v>
      </c>
      <c r="K28" s="1183"/>
      <c r="L28" s="937">
        <f>ROUND(SUM(D28)+SUM(H28),1)</f>
        <v>4967.1000000000004</v>
      </c>
      <c r="M28" s="1391"/>
      <c r="N28" s="1018">
        <v>4390.7</v>
      </c>
      <c r="O28" s="1025"/>
      <c r="P28" s="1707">
        <f>'Exhibit J'!AE31</f>
        <v>4390.7</v>
      </c>
      <c r="Q28" s="968"/>
      <c r="R28" s="1392"/>
      <c r="S28" s="639">
        <f>ROUND(SUM(L28-P28),1)</f>
        <v>576.4</v>
      </c>
      <c r="T28" s="663"/>
      <c r="U28" s="3633">
        <f>ROUND(+S28/P28,3)</f>
        <v>0.13100000000000001</v>
      </c>
      <c r="V28" s="59"/>
      <c r="W28" s="40"/>
      <c r="X28" s="40"/>
    </row>
    <row r="29" spans="1:247">
      <c r="A29" s="29" t="s">
        <v>56</v>
      </c>
      <c r="B29" s="3409">
        <f>ROUND(SUM(B25:B28),1)</f>
        <v>5171.8</v>
      </c>
      <c r="C29" s="916"/>
      <c r="D29" s="61">
        <f>ROUND(SUM(D25:D28),1)</f>
        <v>5171.8</v>
      </c>
      <c r="E29" s="916"/>
      <c r="F29" s="61">
        <f>ROUND(SUM(F24:F28),1)</f>
        <v>43.5</v>
      </c>
      <c r="G29" s="916"/>
      <c r="H29" s="61">
        <f>ROUND(SUM(H25:H28),1)</f>
        <v>43.5</v>
      </c>
      <c r="I29" s="63"/>
      <c r="J29" s="71">
        <f>ROUND(SUM(J25:J28),1)</f>
        <v>5215.3</v>
      </c>
      <c r="K29" s="916"/>
      <c r="L29" s="72">
        <f>ROUND(SUM(L25:L28),1)</f>
        <v>5215.3</v>
      </c>
      <c r="M29" s="64"/>
      <c r="N29" s="3409">
        <f>ROUND(SUM(N25:N28),1)</f>
        <v>4405.8999999999996</v>
      </c>
      <c r="O29" s="112"/>
      <c r="P29" s="3409">
        <f>ROUND(SUM(P25:P28),1)</f>
        <v>4405.8999999999996</v>
      </c>
      <c r="Q29" s="76"/>
      <c r="R29" s="335"/>
      <c r="S29" s="61">
        <f>ROUND(SUM(S25:S28),1)</f>
        <v>809.4</v>
      </c>
      <c r="T29" s="663"/>
      <c r="U29" s="3634">
        <f>ROUND(+S29/P29,3)</f>
        <v>0.184</v>
      </c>
      <c r="V29" s="59"/>
      <c r="W29" s="40"/>
      <c r="X29" s="40"/>
    </row>
    <row r="30" spans="1:247">
      <c r="A30" s="29"/>
      <c r="B30" s="639"/>
      <c r="C30" s="639"/>
      <c r="D30" s="639"/>
      <c r="E30" s="639"/>
      <c r="F30" s="639"/>
      <c r="G30" s="639"/>
      <c r="H30" s="639"/>
      <c r="I30" s="1382"/>
      <c r="J30" s="1382"/>
      <c r="K30" s="639"/>
      <c r="L30" s="639"/>
      <c r="M30" s="1382"/>
      <c r="N30" s="1018"/>
      <c r="O30" s="889"/>
      <c r="P30" s="1018"/>
      <c r="Q30" s="937"/>
      <c r="R30" s="1384"/>
      <c r="S30" s="914"/>
      <c r="T30" s="1387"/>
      <c r="U30" s="1426"/>
      <c r="V30" s="49"/>
      <c r="W30" s="40"/>
      <c r="X30" s="40"/>
    </row>
    <row r="31" spans="1:247" ht="16.399999999999999" customHeight="1">
      <c r="A31" s="29" t="s">
        <v>43</v>
      </c>
      <c r="B31" s="639"/>
      <c r="C31" s="639"/>
      <c r="D31" s="639"/>
      <c r="E31" s="639"/>
      <c r="F31" s="639"/>
      <c r="G31" s="639"/>
      <c r="H31" s="639"/>
      <c r="I31" s="1382"/>
      <c r="J31" s="1382"/>
      <c r="K31" s="639"/>
      <c r="L31" s="639"/>
      <c r="M31" s="1382"/>
      <c r="N31" s="1018"/>
      <c r="O31" s="889"/>
      <c r="P31" s="1018"/>
      <c r="Q31" s="937"/>
      <c r="R31" s="1384"/>
      <c r="S31" s="914"/>
      <c r="T31" s="1387"/>
      <c r="U31" s="1426"/>
      <c r="V31" s="49"/>
      <c r="W31" s="40"/>
      <c r="X31" s="40"/>
    </row>
    <row r="32" spans="1:247">
      <c r="A32" s="29" t="s">
        <v>70</v>
      </c>
      <c r="B32" s="73">
        <f>ROUND(SUM(B21-B29),1)</f>
        <v>-0.1</v>
      </c>
      <c r="C32" s="916"/>
      <c r="D32" s="74">
        <f>ROUND(SUM(D21-D29),1)</f>
        <v>-0.1</v>
      </c>
      <c r="E32" s="916"/>
      <c r="F32" s="74">
        <f>ROUND(SUM(F21-F29),1)</f>
        <v>11.7</v>
      </c>
      <c r="G32" s="916"/>
      <c r="H32" s="74">
        <f>ROUND(SUM(H21-H29),1)</f>
        <v>11.7</v>
      </c>
      <c r="I32" s="64"/>
      <c r="J32" s="75">
        <f>ROUND(SUM(J21-J29),1)</f>
        <v>11.6</v>
      </c>
      <c r="K32" s="916"/>
      <c r="L32" s="74">
        <f>ROUND(SUM(L21-L29),1)</f>
        <v>11.6</v>
      </c>
      <c r="M32" s="64"/>
      <c r="N32" s="113">
        <f>ROUND(SUM(N21-N29),1)</f>
        <v>31.4</v>
      </c>
      <c r="O32" s="115"/>
      <c r="P32" s="113">
        <f>ROUND(SUM(P21-P29),1)</f>
        <v>31.4</v>
      </c>
      <c r="Q32" s="76"/>
      <c r="R32" s="335"/>
      <c r="S32" s="74">
        <f>ROUND(SUM(S21-S29),1)</f>
        <v>-19.8</v>
      </c>
      <c r="T32" s="1387"/>
      <c r="U32" s="1610">
        <f>-ROUND(+S32/P32,3)</f>
        <v>0.63100000000000001</v>
      </c>
      <c r="V32" s="49"/>
      <c r="W32" s="40"/>
      <c r="X32" s="40"/>
    </row>
    <row r="33" spans="1:247">
      <c r="A33" s="31"/>
      <c r="B33" s="639"/>
      <c r="C33" s="639"/>
      <c r="D33" s="639"/>
      <c r="E33" s="639"/>
      <c r="F33" s="639"/>
      <c r="G33" s="639"/>
      <c r="H33" s="639"/>
      <c r="I33" s="1382"/>
      <c r="J33" s="1382"/>
      <c r="K33" s="639"/>
      <c r="L33" s="639"/>
      <c r="M33" s="1382"/>
      <c r="N33" s="1018"/>
      <c r="O33" s="889"/>
      <c r="P33" s="1018"/>
      <c r="Q33" s="937"/>
      <c r="R33" s="1384"/>
      <c r="S33" s="914"/>
      <c r="T33" s="1387"/>
      <c r="U33" s="1426"/>
      <c r="V33" s="49"/>
      <c r="W33" s="40"/>
      <c r="X33" s="40"/>
    </row>
    <row r="34" spans="1:247" ht="16.399999999999999" customHeight="1">
      <c r="A34" s="29" t="s">
        <v>45</v>
      </c>
      <c r="B34" s="639"/>
      <c r="C34" s="639"/>
      <c r="D34" s="639"/>
      <c r="E34" s="639"/>
      <c r="F34" s="639"/>
      <c r="G34" s="639"/>
      <c r="H34" s="639"/>
      <c r="I34" s="1382"/>
      <c r="J34" s="1382"/>
      <c r="K34" s="639"/>
      <c r="L34" s="639"/>
      <c r="M34" s="1382"/>
      <c r="N34" s="1018"/>
      <c r="O34" s="889"/>
      <c r="P34" s="1018"/>
      <c r="Q34" s="937"/>
      <c r="R34" s="1384"/>
      <c r="S34" s="914"/>
      <c r="T34" s="1387"/>
      <c r="U34" s="1426"/>
      <c r="V34" s="49"/>
      <c r="W34" s="40"/>
      <c r="X34" s="40"/>
    </row>
    <row r="35" spans="1:247" ht="16.399999999999999" customHeight="1">
      <c r="A35" s="31" t="s">
        <v>46</v>
      </c>
      <c r="B35" s="940">
        <f>+'Exhibit J'!C41</f>
        <v>3</v>
      </c>
      <c r="C35" s="639"/>
      <c r="D35" s="940">
        <f>+'Exhibit J'!AB41</f>
        <v>3</v>
      </c>
      <c r="E35" s="639"/>
      <c r="F35" s="639">
        <f>'Exhibit K'!B36</f>
        <v>2.5</v>
      </c>
      <c r="G35" s="676"/>
      <c r="H35" s="1393">
        <f>+'Exhibit K'!AA36</f>
        <v>2.5</v>
      </c>
      <c r="I35" s="1382"/>
      <c r="J35" s="1382">
        <f>ROUND(SUM(B35)+SUM(F35),1)</f>
        <v>5.5</v>
      </c>
      <c r="K35" s="676"/>
      <c r="L35" s="1388">
        <f>ROUND(SUM(D35)+SUM(H35),1)</f>
        <v>5.5</v>
      </c>
      <c r="M35" s="937"/>
      <c r="N35" s="1018">
        <v>1.3</v>
      </c>
      <c r="O35" s="1018"/>
      <c r="P35" s="1708">
        <f>'Exhibit J'!AE41+'Exhibit K'!AD36</f>
        <v>1.3</v>
      </c>
      <c r="Q35" s="1389"/>
      <c r="R35" s="1394"/>
      <c r="S35" s="639">
        <f>ROUND(SUM(L35-P35),1)</f>
        <v>4.2</v>
      </c>
      <c r="T35" s="663"/>
      <c r="U35" s="1377">
        <f>ROUND(IF(S35=0,0,S35/(P35)),3)</f>
        <v>3.2309999999999999</v>
      </c>
      <c r="V35" s="80"/>
      <c r="W35" s="40"/>
      <c r="X35" s="40"/>
    </row>
    <row r="36" spans="1:247" s="1706" customFormat="1" ht="16.399999999999999" customHeight="1">
      <c r="A36" s="107" t="s">
        <v>71</v>
      </c>
      <c r="B36" s="3033">
        <f>+'Exhibit J'!C42</f>
        <v>0</v>
      </c>
      <c r="C36" s="1038"/>
      <c r="D36" s="1032">
        <f>+'Exhibit J'!AB42</f>
        <v>0</v>
      </c>
      <c r="E36" s="889"/>
      <c r="F36" s="889">
        <f>'Exhibit K'!B37</f>
        <v>-0.1</v>
      </c>
      <c r="G36" s="889"/>
      <c r="H36" s="1022">
        <f>+'Exhibit K'!AA37</f>
        <v>-0.1</v>
      </c>
      <c r="I36" s="3034"/>
      <c r="J36" s="1408">
        <f>ROUND(SUM(B36)+SUM(F36),1)</f>
        <v>-0.1</v>
      </c>
      <c r="K36" s="889"/>
      <c r="L36" s="1018">
        <f>ROUND(SUM(D36)+SUM(H36),1)</f>
        <v>-0.1</v>
      </c>
      <c r="M36" s="1408"/>
      <c r="N36" s="1018">
        <v>0</v>
      </c>
      <c r="O36" s="3484"/>
      <c r="P36" s="1708">
        <f>'Exhibit J'!AE42+'Exhibit K'!AD37</f>
        <v>0</v>
      </c>
      <c r="Q36" s="1708"/>
      <c r="R36" s="3035"/>
      <c r="S36" s="3036">
        <f>-ROUND(SUM(L36-P36),1)</f>
        <v>0.1</v>
      </c>
      <c r="T36" s="645"/>
      <c r="U36" s="3037">
        <f>ROUND(IF(P36=0,0,S36/ABS(P36)),3)</f>
        <v>0</v>
      </c>
      <c r="V36" s="3038"/>
      <c r="W36" s="3039"/>
      <c r="X36" s="3039"/>
    </row>
    <row r="37" spans="1:247">
      <c r="A37" s="29" t="s">
        <v>48</v>
      </c>
      <c r="B37" s="81">
        <f>ROUND(SUM(B35:B36),1)</f>
        <v>3</v>
      </c>
      <c r="C37" s="82"/>
      <c r="D37" s="81">
        <f>ROUND(SUM(D35:D36),1)</f>
        <v>3</v>
      </c>
      <c r="E37" s="916"/>
      <c r="F37" s="83">
        <f>ROUND(SUM(F35:F36),1)</f>
        <v>2.4</v>
      </c>
      <c r="G37" s="84"/>
      <c r="H37" s="85">
        <f>ROUND(SUM(H35:H36),1)</f>
        <v>2.4</v>
      </c>
      <c r="I37" s="76"/>
      <c r="J37" s="86">
        <f>ROUND(SUM(J35:J36),1)</f>
        <v>5.4</v>
      </c>
      <c r="K37" s="84"/>
      <c r="L37" s="85">
        <f>ROUND(SUM(L35:L36),1)</f>
        <v>5.4</v>
      </c>
      <c r="M37" s="64"/>
      <c r="N37" s="3487">
        <f>ROUND(SUM(N35:N36),1)</f>
        <v>1.3</v>
      </c>
      <c r="O37" s="112"/>
      <c r="P37" s="3487">
        <f>ROUND(SUM(P35:P36),1)</f>
        <v>1.3</v>
      </c>
      <c r="Q37" s="976"/>
      <c r="R37" s="982"/>
      <c r="S37" s="83">
        <f>L37-P37</f>
        <v>4.1000000000000005</v>
      </c>
      <c r="T37" s="1395"/>
      <c r="U37" s="285">
        <f>ROUND(SUM(S37/P37),3)</f>
        <v>3.1539999999999999</v>
      </c>
      <c r="V37" s="87"/>
      <c r="W37" s="40"/>
      <c r="X37" s="40"/>
    </row>
    <row r="38" spans="1:247">
      <c r="A38" s="29"/>
      <c r="B38" s="682"/>
      <c r="C38" s="639"/>
      <c r="D38" s="682"/>
      <c r="E38" s="639"/>
      <c r="F38" s="937"/>
      <c r="G38" s="639"/>
      <c r="H38" s="937"/>
      <c r="I38" s="1382"/>
      <c r="J38" s="1382"/>
      <c r="K38" s="639"/>
      <c r="L38" s="682"/>
      <c r="M38" s="1382"/>
      <c r="N38" s="1018"/>
      <c r="O38" s="889"/>
      <c r="P38" s="1018"/>
      <c r="Q38" s="937"/>
      <c r="R38" s="1384"/>
      <c r="S38" s="914"/>
      <c r="T38" s="1387"/>
      <c r="U38" s="818"/>
      <c r="V38" s="49"/>
      <c r="W38" s="40"/>
      <c r="X38" s="40"/>
    </row>
    <row r="39" spans="1:247" ht="15.75" customHeight="1">
      <c r="A39" s="29" t="s">
        <v>43</v>
      </c>
      <c r="B39" s="639"/>
      <c r="C39" s="639"/>
      <c r="D39" s="639"/>
      <c r="E39" s="639"/>
      <c r="F39" s="889"/>
      <c r="G39" s="639"/>
      <c r="H39" s="639"/>
      <c r="I39" s="1382"/>
      <c r="J39" s="1382"/>
      <c r="K39" s="639"/>
      <c r="L39" s="639"/>
      <c r="M39" s="1382"/>
      <c r="N39" s="1018"/>
      <c r="O39" s="889"/>
      <c r="P39" s="1018"/>
      <c r="Q39" s="937"/>
      <c r="R39" s="1384"/>
      <c r="S39" s="914"/>
      <c r="T39" s="1387"/>
      <c r="U39" s="818"/>
      <c r="V39" s="49"/>
      <c r="W39" s="40"/>
      <c r="X39" s="40"/>
    </row>
    <row r="40" spans="1:247" ht="15.75" customHeight="1">
      <c r="A40" s="29" t="s">
        <v>72</v>
      </c>
      <c r="B40" s="639"/>
      <c r="C40" s="639"/>
      <c r="D40" s="639"/>
      <c r="E40" s="639"/>
      <c r="F40" s="889"/>
      <c r="G40" s="639"/>
      <c r="H40" s="639"/>
      <c r="I40" s="1382"/>
      <c r="J40" s="1382"/>
      <c r="K40" s="639"/>
      <c r="L40" s="639"/>
      <c r="M40" s="1382"/>
      <c r="N40" s="1018"/>
      <c r="O40" s="889"/>
      <c r="P40" s="1018"/>
      <c r="Q40" s="937"/>
      <c r="R40" s="1384"/>
      <c r="S40" s="914"/>
      <c r="T40" s="1387"/>
      <c r="U40" s="818"/>
      <c r="V40" s="49"/>
      <c r="W40" s="40"/>
      <c r="X40" s="40"/>
    </row>
    <row r="41" spans="1:247" ht="15.75" customHeight="1">
      <c r="A41" s="29" t="s">
        <v>73</v>
      </c>
      <c r="B41" s="639"/>
      <c r="C41" s="639"/>
      <c r="D41" s="639"/>
      <c r="E41" s="639"/>
      <c r="F41" s="889"/>
      <c r="G41" s="639"/>
      <c r="H41" s="639"/>
      <c r="I41" s="1382"/>
      <c r="J41" s="1382"/>
      <c r="K41" s="639"/>
      <c r="L41" s="639"/>
      <c r="M41" s="1382"/>
      <c r="N41" s="1018"/>
      <c r="O41" s="889"/>
      <c r="P41" s="1018"/>
      <c r="Q41" s="937"/>
      <c r="R41" s="1384"/>
      <c r="S41" s="914"/>
      <c r="T41" s="1387"/>
      <c r="U41" s="818"/>
      <c r="V41" s="49"/>
      <c r="W41" s="40"/>
      <c r="X41" s="40"/>
    </row>
    <row r="42" spans="1:247" ht="15.75" customHeight="1">
      <c r="A42" s="29" t="s">
        <v>74</v>
      </c>
      <c r="B42" s="89">
        <f>ROUND(SUM(B32,B37),1)</f>
        <v>2.9</v>
      </c>
      <c r="C42" s="916"/>
      <c r="D42" s="89">
        <f>ROUND(SUM(D32,D37),1)</f>
        <v>2.9</v>
      </c>
      <c r="E42" s="916"/>
      <c r="F42" s="1609">
        <f>ROUND(SUM(F32,F37),1)</f>
        <v>14.1</v>
      </c>
      <c r="G42" s="916"/>
      <c r="H42" s="89">
        <f>ROUND(SUM(H32,H37),1)</f>
        <v>14.1</v>
      </c>
      <c r="I42" s="90"/>
      <c r="J42" s="89">
        <f>ROUND(SUM(J32,J37),1)</f>
        <v>17</v>
      </c>
      <c r="K42" s="916"/>
      <c r="L42" s="89">
        <f>ROUND(SUM(L32,L37),1)</f>
        <v>17</v>
      </c>
      <c r="M42" s="64"/>
      <c r="N42" s="1609">
        <f>ROUND(SUM(N32,N37),1)</f>
        <v>32.700000000000003</v>
      </c>
      <c r="O42" s="112"/>
      <c r="P42" s="1609">
        <f>ROUND(SUM(P32,P37),1)</f>
        <v>32.700000000000003</v>
      </c>
      <c r="Q42" s="89"/>
      <c r="R42" s="983"/>
      <c r="S42" s="89">
        <f>ROUND(SUM(S32,S37),1)</f>
        <v>-15.7</v>
      </c>
      <c r="T42" s="91"/>
      <c r="U42" s="1495">
        <f>ROUND(S42/P42,3)</f>
        <v>-0.48</v>
      </c>
      <c r="V42" s="49"/>
      <c r="W42" s="40"/>
      <c r="X42" s="40"/>
    </row>
    <row r="43" spans="1:247">
      <c r="A43" s="29"/>
      <c r="B43" s="639"/>
      <c r="C43" s="639"/>
      <c r="D43" s="639"/>
      <c r="E43" s="639"/>
      <c r="F43" s="889"/>
      <c r="G43" s="639"/>
      <c r="H43" s="639"/>
      <c r="I43" s="1382"/>
      <c r="J43" s="1382"/>
      <c r="K43" s="639"/>
      <c r="L43" s="639"/>
      <c r="M43" s="1382"/>
      <c r="N43" s="1018"/>
      <c r="O43" s="889"/>
      <c r="P43" s="1018"/>
      <c r="Q43" s="937"/>
      <c r="R43" s="1384"/>
      <c r="S43" s="914"/>
      <c r="T43" s="1387"/>
      <c r="U43" s="914"/>
      <c r="V43" s="49"/>
      <c r="W43" s="40"/>
      <c r="X43" s="40"/>
    </row>
    <row r="44" spans="1:247" s="65" customFormat="1">
      <c r="A44" s="29" t="s">
        <v>75</v>
      </c>
      <c r="B44" s="916">
        <f>+'Exhibit J'!C16</f>
        <v>328</v>
      </c>
      <c r="C44" s="916"/>
      <c r="D44" s="916">
        <f>+'Exhibit J'!AB16</f>
        <v>328</v>
      </c>
      <c r="E44" s="916"/>
      <c r="F44" s="3490">
        <f>+'Exhibit K'!B14</f>
        <v>-363.5</v>
      </c>
      <c r="G44" s="916"/>
      <c r="H44" s="916">
        <f>+'Exhibit K'!AA14</f>
        <v>-363.5</v>
      </c>
      <c r="I44" s="64"/>
      <c r="J44" s="64">
        <f>ROUND(SUM(B44)+SUM(F44),1)</f>
        <v>-35.5</v>
      </c>
      <c r="K44" s="916"/>
      <c r="L44" s="916">
        <f>ROUND(SUM(D44)+SUM(H44),1)</f>
        <v>-35.5</v>
      </c>
      <c r="M44" s="64"/>
      <c r="N44" s="120">
        <v>-267.79999999999995</v>
      </c>
      <c r="O44" s="112"/>
      <c r="P44" s="113">
        <f>'Exhibit J'!AE16+'Exhibit K'!AD14</f>
        <v>-267.79999999999995</v>
      </c>
      <c r="Q44" s="76"/>
      <c r="R44" s="335"/>
      <c r="S44" s="916">
        <f>ROUND(SUM(L44-P44),1)</f>
        <v>232.3</v>
      </c>
      <c r="T44" s="91"/>
      <c r="U44" s="1495">
        <f>-ROUND(SUM(S44/P44),3)</f>
        <v>0.86699999999999999</v>
      </c>
      <c r="V44" s="91"/>
      <c r="W44" s="92"/>
      <c r="X44" s="92"/>
    </row>
    <row r="45" spans="1:247" ht="16" thickBot="1">
      <c r="A45" s="29" t="s">
        <v>76</v>
      </c>
      <c r="B45" s="93">
        <f>ROUND(SUM(B42+B44),1)</f>
        <v>330.9</v>
      </c>
      <c r="C45" s="94"/>
      <c r="D45" s="93">
        <f>ROUND(SUM(D42+D44),1)</f>
        <v>330.9</v>
      </c>
      <c r="E45" s="94"/>
      <c r="F45" s="136">
        <f>ROUND(SUM(F42+F44),1)</f>
        <v>-349.4</v>
      </c>
      <c r="G45" s="94"/>
      <c r="H45" s="93">
        <f>ROUND(SUM(H42+H44),1)</f>
        <v>-349.4</v>
      </c>
      <c r="I45" s="95"/>
      <c r="J45" s="96">
        <f>ROUND(SUM(J42+J44),1)</f>
        <v>-18.5</v>
      </c>
      <c r="K45" s="94"/>
      <c r="L45" s="97">
        <f>ROUND(SUM(L42+L44),1)</f>
        <v>-18.5</v>
      </c>
      <c r="M45" s="95"/>
      <c r="N45" s="1479">
        <f>ROUND(SUM(N42+N44),1)</f>
        <v>-235.1</v>
      </c>
      <c r="O45" s="135"/>
      <c r="P45" s="1479">
        <f>ROUND(SUM(P42+P44),1)</f>
        <v>-235.1</v>
      </c>
      <c r="Q45" s="219"/>
      <c r="R45" s="327"/>
      <c r="S45" s="98">
        <f>ROUND(SUM(S42+S44),1)</f>
        <v>216.6</v>
      </c>
      <c r="T45" s="1190"/>
      <c r="U45" s="1469">
        <f>ROUND(SUM(S45/ABS(P45)),3)</f>
        <v>0.92100000000000004</v>
      </c>
      <c r="V45" s="52"/>
      <c r="W45" s="40"/>
      <c r="X45" s="40"/>
    </row>
    <row r="46" spans="1:247" ht="4.4000000000000004" customHeight="1" thickTop="1">
      <c r="A46" s="31"/>
      <c r="B46" s="1396"/>
      <c r="C46" s="920"/>
      <c r="D46" s="1396"/>
      <c r="E46" s="920"/>
      <c r="F46" s="1040"/>
      <c r="G46" s="920"/>
      <c r="H46" s="1396"/>
      <c r="I46" s="920"/>
      <c r="J46" s="1396"/>
      <c r="K46" s="920"/>
      <c r="L46" s="1396"/>
      <c r="M46" s="920"/>
      <c r="N46" s="1013"/>
      <c r="O46" s="1011"/>
      <c r="P46" s="1013"/>
      <c r="Q46" s="1190"/>
      <c r="R46" s="1190"/>
      <c r="S46" s="920"/>
      <c r="T46" s="1397"/>
      <c r="U46" s="1398"/>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84"/>
      <c r="B47" s="38" t="s">
        <v>14</v>
      </c>
      <c r="C47" s="38"/>
      <c r="D47" s="38"/>
      <c r="E47" s="38"/>
      <c r="F47" s="1084"/>
      <c r="G47" s="38"/>
      <c r="H47" s="38"/>
      <c r="I47" s="38"/>
      <c r="J47" s="38"/>
      <c r="K47" s="38"/>
      <c r="L47" s="38"/>
      <c r="M47" s="38"/>
      <c r="N47" s="3488" t="s">
        <v>14</v>
      </c>
      <c r="O47" s="3488"/>
      <c r="P47" s="3488"/>
      <c r="Q47" s="38"/>
      <c r="R47" s="103"/>
      <c r="S47" s="38"/>
      <c r="T47" s="44"/>
      <c r="U47" s="40"/>
      <c r="V47" s="44"/>
      <c r="W47" s="40"/>
      <c r="X47" s="40"/>
    </row>
    <row r="48" spans="1:247" s="102" customFormat="1" ht="16.5" customHeight="1">
      <c r="A48" s="1045"/>
      <c r="B48" s="102" t="s">
        <v>14</v>
      </c>
      <c r="N48" s="1705"/>
      <c r="O48" s="1705"/>
      <c r="P48" s="1705"/>
      <c r="R48" s="977"/>
    </row>
    <row r="49" spans="1:21">
      <c r="A49" s="684"/>
      <c r="B49" s="55" t="s">
        <v>14</v>
      </c>
      <c r="C49" s="38"/>
      <c r="D49" s="38"/>
      <c r="E49" s="38"/>
      <c r="F49" s="38"/>
      <c r="G49" s="38"/>
      <c r="H49" s="38"/>
      <c r="I49" s="38"/>
      <c r="J49" s="38"/>
      <c r="K49" s="38"/>
      <c r="L49" s="38"/>
      <c r="M49" s="38"/>
      <c r="N49" s="3489" t="s">
        <v>14</v>
      </c>
      <c r="O49" s="3488"/>
      <c r="P49" s="3489"/>
      <c r="Q49" s="38"/>
      <c r="R49" s="103"/>
      <c r="S49" s="38"/>
      <c r="T49" s="103"/>
      <c r="U49" s="38"/>
    </row>
    <row r="50" spans="1:21">
      <c r="A50" s="684"/>
      <c r="B50" s="38"/>
      <c r="C50" s="38"/>
      <c r="D50" s="38"/>
      <c r="E50" s="38"/>
      <c r="F50" s="38"/>
      <c r="G50" s="38"/>
      <c r="H50" s="38"/>
      <c r="I50" s="38"/>
      <c r="J50" s="38"/>
      <c r="K50" s="38"/>
      <c r="L50" s="38"/>
      <c r="M50" s="38"/>
      <c r="N50" s="278" t="s">
        <v>14</v>
      </c>
      <c r="O50" s="3488"/>
      <c r="P50" s="278"/>
      <c r="Q50" s="38"/>
      <c r="R50" s="103"/>
      <c r="S50" s="38"/>
      <c r="T50" s="103"/>
      <c r="U50" s="38"/>
    </row>
    <row r="51" spans="1:21">
      <c r="A51" s="684"/>
      <c r="B51" s="38"/>
      <c r="C51" s="38"/>
      <c r="D51" s="38"/>
      <c r="E51" s="38"/>
      <c r="F51" s="38"/>
      <c r="G51" s="38"/>
      <c r="H51" s="38"/>
      <c r="I51" s="38"/>
      <c r="J51" s="38"/>
      <c r="K51" s="38"/>
      <c r="L51" s="38"/>
      <c r="M51" s="38"/>
      <c r="N51" s="3488" t="s">
        <v>14</v>
      </c>
      <c r="O51" s="3488"/>
      <c r="P51" s="3488"/>
      <c r="Q51" s="38"/>
      <c r="R51" s="103"/>
      <c r="S51" s="38"/>
      <c r="T51" s="103"/>
      <c r="U51" s="38"/>
    </row>
    <row r="52" spans="1:21">
      <c r="A52" s="684"/>
      <c r="B52" s="38"/>
      <c r="C52" s="38"/>
      <c r="D52" s="38"/>
      <c r="E52" s="38"/>
      <c r="F52" s="38"/>
      <c r="G52" s="38"/>
      <c r="H52" s="38"/>
      <c r="I52" s="38"/>
      <c r="J52" s="38"/>
      <c r="K52" s="38"/>
      <c r="L52" s="38"/>
      <c r="M52" s="38"/>
      <c r="N52" s="3488"/>
      <c r="O52" s="3488"/>
      <c r="P52" s="3488"/>
      <c r="Q52" s="38"/>
      <c r="R52" s="103"/>
      <c r="S52" s="38"/>
      <c r="T52" s="103"/>
      <c r="U52" s="38"/>
    </row>
    <row r="53" spans="1:21">
      <c r="A53" s="914"/>
    </row>
    <row r="54" spans="1:21">
      <c r="A54" s="914"/>
    </row>
    <row r="55" spans="1:21">
      <c r="A55" s="914"/>
    </row>
    <row r="56" spans="1:21">
      <c r="A56" s="914"/>
    </row>
    <row r="57" spans="1:21">
      <c r="A57" s="914"/>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765625" defaultRowHeight="15.5"/>
  <cols>
    <col min="1" max="1" width="38.07421875" style="882" customWidth="1"/>
    <col min="2" max="2" width="13.765625" style="882" customWidth="1"/>
    <col min="3" max="3" width="1.765625" style="882" customWidth="1"/>
    <col min="4" max="4" width="13.765625" style="882" customWidth="1"/>
    <col min="5" max="5" width="2.4609375" style="882" customWidth="1"/>
    <col min="6" max="6" width="13.765625" style="882" customWidth="1"/>
    <col min="7" max="7" width="1.765625" style="882" customWidth="1"/>
    <col min="8" max="8" width="13.765625" style="882" customWidth="1"/>
    <col min="9" max="9" width="1.765625" style="882" customWidth="1"/>
    <col min="10" max="10" width="13.765625" style="882" customWidth="1"/>
    <col min="11" max="11" width="1.765625" style="882" customWidth="1"/>
    <col min="12" max="12" width="13.765625" style="882" customWidth="1"/>
    <col min="13" max="13" width="0.53515625" style="882" customWidth="1"/>
    <col min="14" max="14" width="13.765625" style="882" customWidth="1"/>
    <col min="15" max="15" width="2.53515625" style="882" customWidth="1"/>
    <col min="16" max="16" width="13.765625" style="882" customWidth="1"/>
    <col min="17" max="17" width="1.53515625" style="882" customWidth="1"/>
    <col min="18" max="18" width="2.07421875" style="986" customWidth="1"/>
    <col min="19" max="19" width="10.53515625" style="882" bestFit="1" customWidth="1"/>
    <col min="20" max="20" width="2.4609375" style="986" customWidth="1"/>
    <col min="21" max="21" width="11.07421875" style="882" bestFit="1" customWidth="1"/>
    <col min="22" max="16384" width="8.765625" style="882"/>
  </cols>
  <sheetData>
    <row r="1" spans="1:252">
      <c r="A1" s="640" t="s">
        <v>885</v>
      </c>
    </row>
    <row r="2" spans="1:252">
      <c r="A2" s="819"/>
    </row>
    <row r="3" spans="1:252" s="987" customFormat="1" ht="18" customHeight="1">
      <c r="A3" s="105" t="s">
        <v>0</v>
      </c>
      <c r="B3" s="105"/>
      <c r="C3" s="105"/>
      <c r="D3" s="105"/>
      <c r="E3" s="105"/>
      <c r="F3" s="882"/>
      <c r="G3" s="882"/>
      <c r="H3" s="105"/>
      <c r="I3" s="105"/>
      <c r="J3" s="105"/>
      <c r="K3" s="105"/>
      <c r="L3" s="105"/>
      <c r="M3" s="105"/>
      <c r="N3" s="3481"/>
      <c r="P3" s="1002"/>
      <c r="Q3" s="988"/>
      <c r="R3" s="989"/>
      <c r="S3" s="819"/>
      <c r="T3" s="989"/>
      <c r="U3" s="973" t="s">
        <v>77</v>
      </c>
      <c r="V3" s="819"/>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c r="AW3" s="882"/>
      <c r="AX3" s="882"/>
      <c r="AY3" s="882"/>
      <c r="AZ3" s="882"/>
      <c r="BA3" s="882"/>
      <c r="BB3" s="882"/>
      <c r="BC3" s="882"/>
      <c r="BD3" s="882"/>
      <c r="BE3" s="882"/>
      <c r="BF3" s="882"/>
      <c r="BG3" s="882"/>
      <c r="BH3" s="882"/>
      <c r="BI3" s="882"/>
      <c r="BJ3" s="882"/>
      <c r="BK3" s="882"/>
      <c r="BL3" s="882"/>
      <c r="BM3" s="882"/>
      <c r="BN3" s="882"/>
      <c r="BO3" s="882"/>
      <c r="BP3" s="882"/>
      <c r="BQ3" s="882"/>
      <c r="BR3" s="882"/>
      <c r="BS3" s="882"/>
      <c r="BT3" s="882"/>
      <c r="BU3" s="882"/>
      <c r="BV3" s="882"/>
      <c r="BW3" s="882"/>
      <c r="BX3" s="882"/>
      <c r="BY3" s="882"/>
      <c r="BZ3" s="882"/>
      <c r="CA3" s="882"/>
      <c r="CB3" s="882"/>
      <c r="CC3" s="882"/>
      <c r="CD3" s="882"/>
      <c r="CE3" s="882"/>
      <c r="CF3" s="882"/>
      <c r="CG3" s="882"/>
      <c r="CH3" s="882"/>
      <c r="CI3" s="882"/>
      <c r="CJ3" s="882"/>
      <c r="CK3" s="882"/>
      <c r="CL3" s="882"/>
      <c r="CM3" s="882"/>
      <c r="CN3" s="882"/>
      <c r="CO3" s="882"/>
      <c r="CP3" s="882"/>
      <c r="CQ3" s="882"/>
      <c r="CR3" s="882"/>
      <c r="CS3" s="882"/>
      <c r="CT3" s="882"/>
      <c r="CU3" s="882"/>
      <c r="CV3" s="882"/>
      <c r="CW3" s="882"/>
      <c r="CX3" s="882"/>
      <c r="CY3" s="882"/>
      <c r="CZ3" s="882"/>
      <c r="DA3" s="882"/>
      <c r="DB3" s="882"/>
      <c r="DC3" s="882"/>
      <c r="DD3" s="882"/>
      <c r="DE3" s="882"/>
      <c r="DF3" s="882"/>
      <c r="DG3" s="882"/>
      <c r="DH3" s="882"/>
      <c r="DI3" s="882"/>
      <c r="DJ3" s="882"/>
      <c r="DK3" s="882"/>
      <c r="DL3" s="882"/>
      <c r="DM3" s="882"/>
      <c r="DN3" s="882"/>
      <c r="DO3" s="882"/>
      <c r="DP3" s="882"/>
      <c r="DQ3" s="882"/>
      <c r="DR3" s="882"/>
      <c r="DS3" s="882"/>
      <c r="DT3" s="882"/>
      <c r="DU3" s="882"/>
      <c r="DV3" s="882"/>
      <c r="DW3" s="882"/>
      <c r="DX3" s="882"/>
      <c r="DY3" s="882"/>
      <c r="DZ3" s="882"/>
      <c r="EA3" s="882"/>
      <c r="EB3" s="882"/>
      <c r="EC3" s="882"/>
      <c r="ED3" s="882"/>
      <c r="EE3" s="882"/>
      <c r="EF3" s="882"/>
      <c r="EG3" s="882"/>
      <c r="EH3" s="882"/>
      <c r="EI3" s="882"/>
      <c r="EJ3" s="882"/>
      <c r="EK3" s="882"/>
      <c r="EL3" s="882"/>
      <c r="EM3" s="882"/>
      <c r="EN3" s="882"/>
      <c r="EO3" s="882"/>
      <c r="EP3" s="882"/>
      <c r="EQ3" s="882"/>
      <c r="ER3" s="882"/>
      <c r="ES3" s="882"/>
      <c r="ET3" s="882"/>
      <c r="EU3" s="882"/>
      <c r="EV3" s="882"/>
      <c r="EW3" s="882"/>
      <c r="EX3" s="882"/>
      <c r="EY3" s="882"/>
      <c r="EZ3" s="882"/>
      <c r="FA3" s="882"/>
      <c r="FB3" s="882"/>
      <c r="FC3" s="882"/>
      <c r="FD3" s="882"/>
      <c r="FE3" s="882"/>
      <c r="FF3" s="882"/>
      <c r="FG3" s="882"/>
      <c r="FH3" s="882"/>
      <c r="FI3" s="882"/>
      <c r="FJ3" s="882"/>
      <c r="FK3" s="882"/>
      <c r="FL3" s="882"/>
      <c r="FM3" s="882"/>
      <c r="FN3" s="882"/>
      <c r="FO3" s="882"/>
      <c r="FP3" s="882"/>
      <c r="FQ3" s="882"/>
      <c r="FR3" s="882"/>
      <c r="FS3" s="882"/>
      <c r="FT3" s="882"/>
      <c r="FU3" s="882"/>
      <c r="FV3" s="882"/>
      <c r="FW3" s="882"/>
      <c r="FX3" s="882"/>
      <c r="FY3" s="882"/>
      <c r="FZ3" s="882"/>
      <c r="GA3" s="882"/>
      <c r="GB3" s="882"/>
      <c r="GC3" s="882"/>
      <c r="GD3" s="882"/>
      <c r="GE3" s="882"/>
      <c r="GF3" s="882"/>
      <c r="GG3" s="882"/>
      <c r="GH3" s="882"/>
      <c r="GI3" s="882"/>
      <c r="GJ3" s="882"/>
      <c r="GK3" s="882"/>
      <c r="GL3" s="882"/>
      <c r="GM3" s="882"/>
      <c r="GN3" s="882"/>
      <c r="GO3" s="882"/>
      <c r="GP3" s="882"/>
      <c r="GQ3" s="882"/>
      <c r="GR3" s="882"/>
      <c r="GS3" s="882"/>
      <c r="GT3" s="882"/>
      <c r="GU3" s="882"/>
      <c r="GV3" s="882"/>
      <c r="GW3" s="882"/>
      <c r="GX3" s="882"/>
      <c r="GY3" s="882"/>
      <c r="GZ3" s="882"/>
      <c r="HA3" s="882"/>
      <c r="HB3" s="882"/>
      <c r="HC3" s="882"/>
      <c r="HD3" s="882"/>
      <c r="HE3" s="882"/>
      <c r="HF3" s="882"/>
      <c r="HG3" s="882"/>
      <c r="HH3" s="882"/>
      <c r="HI3" s="882"/>
      <c r="HJ3" s="882"/>
      <c r="HK3" s="882"/>
      <c r="HL3" s="882"/>
      <c r="HM3" s="882"/>
      <c r="HN3" s="882"/>
      <c r="HO3" s="882"/>
      <c r="HP3" s="882"/>
      <c r="HQ3" s="882"/>
      <c r="HR3" s="882"/>
      <c r="HS3" s="882"/>
      <c r="HT3" s="882"/>
      <c r="HU3" s="882"/>
      <c r="HV3" s="882"/>
      <c r="HW3" s="882"/>
      <c r="HX3" s="882"/>
      <c r="HY3" s="882"/>
      <c r="HZ3" s="882"/>
      <c r="IA3" s="882"/>
      <c r="IB3" s="882"/>
      <c r="IC3" s="882"/>
      <c r="ID3" s="882"/>
      <c r="IE3" s="882"/>
      <c r="IF3" s="882"/>
      <c r="IG3" s="882"/>
      <c r="IH3" s="882"/>
      <c r="II3" s="882"/>
      <c r="IJ3" s="882"/>
      <c r="IK3" s="882"/>
      <c r="IL3" s="882"/>
      <c r="IM3" s="882"/>
      <c r="IN3" s="882"/>
      <c r="IO3" s="882"/>
      <c r="IP3" s="882"/>
      <c r="IQ3" s="882"/>
      <c r="IR3" s="882"/>
    </row>
    <row r="4" spans="1:252" s="987" customFormat="1" ht="15.75" customHeight="1">
      <c r="A4" s="105" t="s">
        <v>796</v>
      </c>
      <c r="B4" s="105"/>
      <c r="C4" s="105"/>
      <c r="D4" s="105"/>
      <c r="E4" s="105"/>
      <c r="F4" s="882"/>
      <c r="G4" s="882"/>
      <c r="H4" s="105"/>
      <c r="I4" s="105"/>
      <c r="J4" s="105"/>
      <c r="K4" s="105"/>
      <c r="L4" s="105"/>
      <c r="M4" s="105"/>
      <c r="N4" s="105"/>
      <c r="O4" s="105"/>
      <c r="P4" s="105"/>
      <c r="Q4" s="988"/>
      <c r="R4" s="989"/>
      <c r="S4" s="819"/>
      <c r="T4" s="989"/>
      <c r="U4" s="819"/>
      <c r="V4" s="819"/>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2"/>
      <c r="AU4" s="882"/>
      <c r="AV4" s="882"/>
      <c r="AW4" s="882"/>
      <c r="AX4" s="882"/>
      <c r="AY4" s="882"/>
      <c r="AZ4" s="882"/>
      <c r="BA4" s="882"/>
      <c r="BB4" s="882"/>
      <c r="BC4" s="882"/>
      <c r="BD4" s="882"/>
      <c r="BE4" s="882"/>
      <c r="BF4" s="882"/>
      <c r="BG4" s="882"/>
      <c r="BH4" s="882"/>
      <c r="BI4" s="882"/>
      <c r="BJ4" s="882"/>
      <c r="BK4" s="882"/>
      <c r="BL4" s="882"/>
      <c r="BM4" s="882"/>
      <c r="BN4" s="882"/>
      <c r="BO4" s="882"/>
      <c r="BP4" s="882"/>
      <c r="BQ4" s="882"/>
      <c r="BR4" s="882"/>
      <c r="BS4" s="882"/>
      <c r="BT4" s="882"/>
      <c r="BU4" s="882"/>
      <c r="BV4" s="882"/>
      <c r="BW4" s="882"/>
      <c r="BX4" s="882"/>
      <c r="BY4" s="882"/>
      <c r="BZ4" s="882"/>
      <c r="CA4" s="882"/>
      <c r="CB4" s="882"/>
      <c r="CC4" s="882"/>
      <c r="CD4" s="882"/>
      <c r="CE4" s="882"/>
      <c r="CF4" s="882"/>
      <c r="CG4" s="882"/>
      <c r="CH4" s="882"/>
      <c r="CI4" s="882"/>
      <c r="CJ4" s="882"/>
      <c r="CK4" s="882"/>
      <c r="CL4" s="882"/>
      <c r="CM4" s="882"/>
      <c r="CN4" s="882"/>
      <c r="CO4" s="882"/>
      <c r="CP4" s="882"/>
      <c r="CQ4" s="882"/>
      <c r="CR4" s="882"/>
      <c r="CS4" s="882"/>
      <c r="CT4" s="882"/>
      <c r="CU4" s="882"/>
      <c r="CV4" s="882"/>
      <c r="CW4" s="882"/>
      <c r="CX4" s="882"/>
      <c r="CY4" s="882"/>
      <c r="CZ4" s="882"/>
      <c r="DA4" s="882"/>
      <c r="DB4" s="882"/>
      <c r="DC4" s="882"/>
      <c r="DD4" s="882"/>
      <c r="DE4" s="882"/>
      <c r="DF4" s="882"/>
      <c r="DG4" s="882"/>
      <c r="DH4" s="882"/>
      <c r="DI4" s="882"/>
      <c r="DJ4" s="882"/>
      <c r="DK4" s="882"/>
      <c r="DL4" s="882"/>
      <c r="DM4" s="882"/>
      <c r="DN4" s="882"/>
      <c r="DO4" s="882"/>
      <c r="DP4" s="882"/>
      <c r="DQ4" s="882"/>
      <c r="DR4" s="882"/>
      <c r="DS4" s="882"/>
      <c r="DT4" s="882"/>
      <c r="DU4" s="882"/>
      <c r="DV4" s="882"/>
      <c r="DW4" s="882"/>
      <c r="DX4" s="882"/>
      <c r="DY4" s="882"/>
      <c r="DZ4" s="882"/>
      <c r="EA4" s="882"/>
      <c r="EB4" s="882"/>
      <c r="EC4" s="882"/>
      <c r="ED4" s="882"/>
      <c r="EE4" s="882"/>
      <c r="EF4" s="882"/>
      <c r="EG4" s="882"/>
      <c r="EH4" s="882"/>
      <c r="EI4" s="882"/>
      <c r="EJ4" s="882"/>
      <c r="EK4" s="882"/>
      <c r="EL4" s="882"/>
      <c r="EM4" s="882"/>
      <c r="EN4" s="882"/>
      <c r="EO4" s="882"/>
      <c r="EP4" s="882"/>
      <c r="EQ4" s="882"/>
      <c r="ER4" s="882"/>
      <c r="ES4" s="882"/>
      <c r="ET4" s="882"/>
      <c r="EU4" s="882"/>
      <c r="EV4" s="882"/>
      <c r="EW4" s="882"/>
      <c r="EX4" s="882"/>
      <c r="EY4" s="882"/>
      <c r="EZ4" s="882"/>
      <c r="FA4" s="882"/>
      <c r="FB4" s="882"/>
      <c r="FC4" s="882"/>
      <c r="FD4" s="882"/>
      <c r="FE4" s="882"/>
      <c r="FF4" s="882"/>
      <c r="FG4" s="882"/>
      <c r="FH4" s="882"/>
      <c r="FI4" s="882"/>
      <c r="FJ4" s="882"/>
      <c r="FK4" s="882"/>
      <c r="FL4" s="882"/>
      <c r="FM4" s="882"/>
      <c r="FN4" s="882"/>
      <c r="FO4" s="882"/>
      <c r="FP4" s="882"/>
      <c r="FQ4" s="882"/>
      <c r="FR4" s="882"/>
      <c r="FS4" s="882"/>
      <c r="FT4" s="882"/>
      <c r="FU4" s="882"/>
      <c r="FV4" s="882"/>
      <c r="FW4" s="882"/>
      <c r="FX4" s="882"/>
      <c r="FY4" s="882"/>
      <c r="FZ4" s="882"/>
      <c r="GA4" s="882"/>
      <c r="GB4" s="882"/>
      <c r="GC4" s="882"/>
      <c r="GD4" s="882"/>
      <c r="GE4" s="882"/>
      <c r="GF4" s="882"/>
      <c r="GG4" s="882"/>
      <c r="GH4" s="882"/>
      <c r="GI4" s="882"/>
      <c r="GJ4" s="882"/>
      <c r="GK4" s="882"/>
      <c r="GL4" s="882"/>
      <c r="GM4" s="882"/>
      <c r="GN4" s="882"/>
      <c r="GO4" s="882"/>
      <c r="GP4" s="882"/>
      <c r="GQ4" s="882"/>
      <c r="GR4" s="882"/>
      <c r="GS4" s="882"/>
      <c r="GT4" s="882"/>
      <c r="GU4" s="882"/>
      <c r="GV4" s="882"/>
      <c r="GW4" s="882"/>
      <c r="GX4" s="882"/>
      <c r="GY4" s="882"/>
      <c r="GZ4" s="882"/>
      <c r="HA4" s="882"/>
      <c r="HB4" s="882"/>
      <c r="HC4" s="882"/>
      <c r="HD4" s="882"/>
      <c r="HE4" s="882"/>
      <c r="HF4" s="882"/>
      <c r="HG4" s="882"/>
      <c r="HH4" s="882"/>
      <c r="HI4" s="882"/>
      <c r="HJ4" s="882"/>
      <c r="HK4" s="882"/>
      <c r="HL4" s="882"/>
      <c r="HM4" s="882"/>
      <c r="HN4" s="882"/>
      <c r="HO4" s="882"/>
      <c r="HP4" s="882"/>
      <c r="HQ4" s="882"/>
      <c r="HR4" s="882"/>
      <c r="HS4" s="882"/>
      <c r="HT4" s="882"/>
      <c r="HU4" s="882"/>
      <c r="HV4" s="882"/>
      <c r="HW4" s="882"/>
      <c r="HX4" s="882"/>
      <c r="HY4" s="882"/>
      <c r="HZ4" s="882"/>
      <c r="IA4" s="882"/>
      <c r="IB4" s="882"/>
      <c r="IC4" s="882"/>
      <c r="ID4" s="882"/>
      <c r="IE4" s="882"/>
      <c r="IF4" s="882"/>
      <c r="IG4" s="882"/>
      <c r="IH4" s="882"/>
      <c r="II4" s="882"/>
      <c r="IJ4" s="882"/>
      <c r="IK4" s="882"/>
      <c r="IL4" s="882"/>
      <c r="IM4" s="882"/>
      <c r="IN4" s="882"/>
      <c r="IO4" s="882"/>
      <c r="IP4" s="882"/>
      <c r="IQ4" s="882"/>
      <c r="IR4" s="882"/>
    </row>
    <row r="5" spans="1:252" s="987" customFormat="1" ht="15.75" customHeight="1">
      <c r="A5" s="261" t="s">
        <v>797</v>
      </c>
      <c r="B5" s="105"/>
      <c r="C5" s="105"/>
      <c r="D5" s="105"/>
      <c r="E5" s="105"/>
      <c r="F5" s="882"/>
      <c r="G5" s="882"/>
      <c r="H5" s="105"/>
      <c r="I5" s="105"/>
      <c r="J5" s="105"/>
      <c r="K5" s="105"/>
      <c r="L5" s="105"/>
      <c r="M5" s="105"/>
      <c r="N5" s="105"/>
      <c r="O5" s="105"/>
      <c r="P5" s="105" t="s">
        <v>14</v>
      </c>
      <c r="Q5" s="988"/>
      <c r="R5" s="989"/>
      <c r="S5" s="819"/>
      <c r="T5" s="989"/>
      <c r="U5" s="819"/>
      <c r="V5" s="819"/>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c r="AY5" s="882"/>
      <c r="AZ5" s="882"/>
      <c r="BA5" s="882"/>
      <c r="BB5" s="882"/>
      <c r="BC5" s="882"/>
      <c r="BD5" s="882"/>
      <c r="BE5" s="882"/>
      <c r="BF5" s="882"/>
      <c r="BG5" s="882"/>
      <c r="BH5" s="882"/>
      <c r="BI5" s="882"/>
      <c r="BJ5" s="882"/>
      <c r="BK5" s="882"/>
      <c r="BL5" s="882"/>
      <c r="BM5" s="882"/>
      <c r="BN5" s="882"/>
      <c r="BO5" s="882"/>
      <c r="BP5" s="882"/>
      <c r="BQ5" s="882"/>
      <c r="BR5" s="882"/>
      <c r="BS5" s="882"/>
      <c r="BT5" s="882"/>
      <c r="BU5" s="882"/>
      <c r="BV5" s="882"/>
      <c r="BW5" s="882"/>
      <c r="BX5" s="882"/>
      <c r="BY5" s="882"/>
      <c r="BZ5" s="882"/>
      <c r="CA5" s="882"/>
      <c r="CB5" s="882"/>
      <c r="CC5" s="882"/>
      <c r="CD5" s="882"/>
      <c r="CE5" s="882"/>
      <c r="CF5" s="882"/>
      <c r="CG5" s="882"/>
      <c r="CH5" s="882"/>
      <c r="CI5" s="882"/>
      <c r="CJ5" s="882"/>
      <c r="CK5" s="882"/>
      <c r="CL5" s="882"/>
      <c r="CM5" s="882"/>
      <c r="CN5" s="882"/>
      <c r="CO5" s="882"/>
      <c r="CP5" s="882"/>
      <c r="CQ5" s="882"/>
      <c r="CR5" s="882"/>
      <c r="CS5" s="882"/>
      <c r="CT5" s="882"/>
      <c r="CU5" s="882"/>
      <c r="CV5" s="882"/>
      <c r="CW5" s="882"/>
      <c r="CX5" s="882"/>
      <c r="CY5" s="882"/>
      <c r="CZ5" s="882"/>
      <c r="DA5" s="882"/>
      <c r="DB5" s="882"/>
      <c r="DC5" s="882"/>
      <c r="DD5" s="882"/>
      <c r="DE5" s="882"/>
      <c r="DF5" s="882"/>
      <c r="DG5" s="882"/>
      <c r="DH5" s="882"/>
      <c r="DI5" s="882"/>
      <c r="DJ5" s="882"/>
      <c r="DK5" s="882"/>
      <c r="DL5" s="882"/>
      <c r="DM5" s="882"/>
      <c r="DN5" s="882"/>
      <c r="DO5" s="882"/>
      <c r="DP5" s="882"/>
      <c r="DQ5" s="882"/>
      <c r="DR5" s="882"/>
      <c r="DS5" s="882"/>
      <c r="DT5" s="882"/>
      <c r="DU5" s="882"/>
      <c r="DV5" s="882"/>
      <c r="DW5" s="882"/>
      <c r="DX5" s="882"/>
      <c r="DY5" s="882"/>
      <c r="DZ5" s="882"/>
      <c r="EA5" s="882"/>
      <c r="EB5" s="882"/>
      <c r="EC5" s="882"/>
      <c r="ED5" s="882"/>
      <c r="EE5" s="882"/>
      <c r="EF5" s="882"/>
      <c r="EG5" s="882"/>
      <c r="EH5" s="882"/>
      <c r="EI5" s="882"/>
      <c r="EJ5" s="882"/>
      <c r="EK5" s="882"/>
      <c r="EL5" s="882"/>
      <c r="EM5" s="882"/>
      <c r="EN5" s="882"/>
      <c r="EO5" s="882"/>
      <c r="EP5" s="882"/>
      <c r="EQ5" s="882"/>
      <c r="ER5" s="882"/>
      <c r="ES5" s="882"/>
      <c r="ET5" s="882"/>
      <c r="EU5" s="882"/>
      <c r="EV5" s="882"/>
      <c r="EW5" s="882"/>
      <c r="EX5" s="882"/>
      <c r="EY5" s="882"/>
      <c r="EZ5" s="882"/>
      <c r="FA5" s="882"/>
      <c r="FB5" s="882"/>
      <c r="FC5" s="882"/>
      <c r="FD5" s="882"/>
      <c r="FE5" s="882"/>
      <c r="FF5" s="882"/>
      <c r="FG5" s="882"/>
      <c r="FH5" s="882"/>
      <c r="FI5" s="882"/>
      <c r="FJ5" s="882"/>
      <c r="FK5" s="882"/>
      <c r="FL5" s="882"/>
      <c r="FM5" s="882"/>
      <c r="FN5" s="882"/>
      <c r="FO5" s="882"/>
      <c r="FP5" s="882"/>
      <c r="FQ5" s="882"/>
      <c r="FR5" s="882"/>
      <c r="FS5" s="882"/>
      <c r="FT5" s="882"/>
      <c r="FU5" s="882"/>
      <c r="FV5" s="882"/>
      <c r="FW5" s="882"/>
      <c r="FX5" s="882"/>
      <c r="FY5" s="882"/>
      <c r="FZ5" s="882"/>
      <c r="GA5" s="882"/>
      <c r="GB5" s="882"/>
      <c r="GC5" s="882"/>
      <c r="GD5" s="882"/>
      <c r="GE5" s="882"/>
      <c r="GF5" s="882"/>
      <c r="GG5" s="882"/>
      <c r="GH5" s="882"/>
      <c r="GI5" s="882"/>
      <c r="GJ5" s="882"/>
      <c r="GK5" s="882"/>
      <c r="GL5" s="882"/>
      <c r="GM5" s="882"/>
      <c r="GN5" s="882"/>
      <c r="GO5" s="882"/>
      <c r="GP5" s="882"/>
      <c r="GQ5" s="882"/>
      <c r="GR5" s="882"/>
      <c r="GS5" s="882"/>
      <c r="GT5" s="882"/>
      <c r="GU5" s="882"/>
      <c r="GV5" s="882"/>
      <c r="GW5" s="882"/>
      <c r="GX5" s="882"/>
      <c r="GY5" s="882"/>
      <c r="GZ5" s="882"/>
      <c r="HA5" s="882"/>
      <c r="HB5" s="882"/>
      <c r="HC5" s="882"/>
      <c r="HD5" s="882"/>
      <c r="HE5" s="882"/>
      <c r="HF5" s="882"/>
      <c r="HG5" s="882"/>
      <c r="HH5" s="882"/>
      <c r="HI5" s="882"/>
      <c r="HJ5" s="882"/>
      <c r="HK5" s="882"/>
      <c r="HL5" s="882"/>
      <c r="HM5" s="882"/>
      <c r="HN5" s="882"/>
      <c r="HO5" s="882"/>
      <c r="HP5" s="882"/>
      <c r="HQ5" s="882"/>
      <c r="HR5" s="882"/>
      <c r="HS5" s="882"/>
      <c r="HT5" s="882"/>
      <c r="HU5" s="882"/>
      <c r="HV5" s="882"/>
      <c r="HW5" s="882"/>
      <c r="HX5" s="882"/>
      <c r="HY5" s="882"/>
      <c r="HZ5" s="882"/>
      <c r="IA5" s="882"/>
      <c r="IB5" s="882"/>
      <c r="IC5" s="882"/>
      <c r="ID5" s="882"/>
      <c r="IE5" s="882"/>
      <c r="IF5" s="882"/>
      <c r="IG5" s="882"/>
      <c r="IH5" s="882"/>
      <c r="II5" s="882"/>
      <c r="IJ5" s="882"/>
      <c r="IK5" s="882"/>
      <c r="IL5" s="882"/>
      <c r="IM5" s="882"/>
      <c r="IN5" s="882"/>
      <c r="IO5" s="882"/>
      <c r="IP5" s="882"/>
      <c r="IQ5" s="882"/>
      <c r="IR5" s="882"/>
    </row>
    <row r="6" spans="1:252" s="987" customFormat="1" ht="15.75" customHeight="1">
      <c r="A6" s="105" t="s">
        <v>1280</v>
      </c>
      <c r="B6" s="105"/>
      <c r="C6" s="105"/>
      <c r="D6" s="105"/>
      <c r="E6" s="105"/>
      <c r="F6" s="882"/>
      <c r="G6" s="882"/>
      <c r="H6" s="105"/>
      <c r="I6" s="105"/>
      <c r="J6" s="105"/>
      <c r="K6" s="105"/>
      <c r="L6" s="105"/>
      <c r="M6" s="105"/>
      <c r="N6" s="105"/>
      <c r="O6" s="105"/>
      <c r="P6" s="105"/>
      <c r="Q6" s="988"/>
      <c r="R6" s="989"/>
      <c r="S6" s="819"/>
      <c r="T6" s="989"/>
      <c r="U6" s="819"/>
      <c r="V6" s="819"/>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2"/>
      <c r="AX6" s="882"/>
      <c r="AY6" s="882"/>
      <c r="AZ6" s="882"/>
      <c r="BA6" s="882"/>
      <c r="BB6" s="882"/>
      <c r="BC6" s="882"/>
      <c r="BD6" s="882"/>
      <c r="BE6" s="882"/>
      <c r="BF6" s="882"/>
      <c r="BG6" s="882"/>
      <c r="BH6" s="882"/>
      <c r="BI6" s="882"/>
      <c r="BJ6" s="882"/>
      <c r="BK6" s="882"/>
      <c r="BL6" s="882"/>
      <c r="BM6" s="882"/>
      <c r="BN6" s="882"/>
      <c r="BO6" s="882"/>
      <c r="BP6" s="882"/>
      <c r="BQ6" s="882"/>
      <c r="BR6" s="882"/>
      <c r="BS6" s="882"/>
      <c r="BT6" s="882"/>
      <c r="BU6" s="882"/>
      <c r="BV6" s="882"/>
      <c r="BW6" s="882"/>
      <c r="BX6" s="882"/>
      <c r="BY6" s="882"/>
      <c r="BZ6" s="882"/>
      <c r="CA6" s="882"/>
      <c r="CB6" s="882"/>
      <c r="CC6" s="882"/>
      <c r="CD6" s="882"/>
      <c r="CE6" s="882"/>
      <c r="CF6" s="882"/>
      <c r="CG6" s="882"/>
      <c r="CH6" s="882"/>
      <c r="CI6" s="882"/>
      <c r="CJ6" s="882"/>
      <c r="CK6" s="882"/>
      <c r="CL6" s="882"/>
      <c r="CM6" s="882"/>
      <c r="CN6" s="882"/>
      <c r="CO6" s="882"/>
      <c r="CP6" s="882"/>
      <c r="CQ6" s="882"/>
      <c r="CR6" s="882"/>
      <c r="CS6" s="882"/>
      <c r="CT6" s="882"/>
      <c r="CU6" s="882"/>
      <c r="CV6" s="882"/>
      <c r="CW6" s="882"/>
      <c r="CX6" s="882"/>
      <c r="CY6" s="882"/>
      <c r="CZ6" s="882"/>
      <c r="DA6" s="882"/>
      <c r="DB6" s="882"/>
      <c r="DC6" s="882"/>
      <c r="DD6" s="882"/>
      <c r="DE6" s="882"/>
      <c r="DF6" s="882"/>
      <c r="DG6" s="882"/>
      <c r="DH6" s="882"/>
      <c r="DI6" s="882"/>
      <c r="DJ6" s="882"/>
      <c r="DK6" s="882"/>
      <c r="DL6" s="882"/>
      <c r="DM6" s="882"/>
      <c r="DN6" s="882"/>
      <c r="DO6" s="882"/>
      <c r="DP6" s="882"/>
      <c r="DQ6" s="882"/>
      <c r="DR6" s="882"/>
      <c r="DS6" s="882"/>
      <c r="DT6" s="882"/>
      <c r="DU6" s="882"/>
      <c r="DV6" s="882"/>
      <c r="DW6" s="882"/>
      <c r="DX6" s="882"/>
      <c r="DY6" s="882"/>
      <c r="DZ6" s="882"/>
      <c r="EA6" s="882"/>
      <c r="EB6" s="882"/>
      <c r="EC6" s="882"/>
      <c r="ED6" s="882"/>
      <c r="EE6" s="882"/>
      <c r="EF6" s="882"/>
      <c r="EG6" s="882"/>
      <c r="EH6" s="882"/>
      <c r="EI6" s="882"/>
      <c r="EJ6" s="882"/>
      <c r="EK6" s="882"/>
      <c r="EL6" s="882"/>
      <c r="EM6" s="882"/>
      <c r="EN6" s="882"/>
      <c r="EO6" s="882"/>
      <c r="EP6" s="882"/>
      <c r="EQ6" s="882"/>
      <c r="ER6" s="882"/>
      <c r="ES6" s="882"/>
      <c r="ET6" s="882"/>
      <c r="EU6" s="882"/>
      <c r="EV6" s="882"/>
      <c r="EW6" s="882"/>
      <c r="EX6" s="882"/>
      <c r="EY6" s="882"/>
      <c r="EZ6" s="882"/>
      <c r="FA6" s="882"/>
      <c r="FB6" s="882"/>
      <c r="FC6" s="882"/>
      <c r="FD6" s="882"/>
      <c r="FE6" s="882"/>
      <c r="FF6" s="882"/>
      <c r="FG6" s="882"/>
      <c r="FH6" s="882"/>
      <c r="FI6" s="882"/>
      <c r="FJ6" s="882"/>
      <c r="FK6" s="882"/>
      <c r="FL6" s="882"/>
      <c r="FM6" s="882"/>
      <c r="FN6" s="882"/>
      <c r="FO6" s="882"/>
      <c r="FP6" s="882"/>
      <c r="FQ6" s="882"/>
      <c r="FR6" s="882"/>
      <c r="FS6" s="882"/>
      <c r="FT6" s="882"/>
      <c r="FU6" s="882"/>
      <c r="FV6" s="882"/>
      <c r="FW6" s="882"/>
      <c r="FX6" s="882"/>
      <c r="FY6" s="882"/>
      <c r="FZ6" s="882"/>
      <c r="GA6" s="882"/>
      <c r="GB6" s="882"/>
      <c r="GC6" s="882"/>
      <c r="GD6" s="882"/>
      <c r="GE6" s="882"/>
      <c r="GF6" s="882"/>
      <c r="GG6" s="882"/>
      <c r="GH6" s="882"/>
      <c r="GI6" s="882"/>
      <c r="GJ6" s="882"/>
      <c r="GK6" s="882"/>
      <c r="GL6" s="882"/>
      <c r="GM6" s="882"/>
      <c r="GN6" s="882"/>
      <c r="GO6" s="882"/>
      <c r="GP6" s="882"/>
      <c r="GQ6" s="882"/>
      <c r="GR6" s="882"/>
      <c r="GS6" s="882"/>
      <c r="GT6" s="882"/>
      <c r="GU6" s="882"/>
      <c r="GV6" s="882"/>
      <c r="GW6" s="882"/>
      <c r="GX6" s="882"/>
      <c r="GY6" s="882"/>
      <c r="GZ6" s="882"/>
      <c r="HA6" s="882"/>
      <c r="HB6" s="882"/>
      <c r="HC6" s="882"/>
      <c r="HD6" s="882"/>
      <c r="HE6" s="882"/>
      <c r="HF6" s="882"/>
      <c r="HG6" s="882"/>
      <c r="HH6" s="882"/>
      <c r="HI6" s="882"/>
      <c r="HJ6" s="882"/>
      <c r="HK6" s="882"/>
      <c r="HL6" s="882"/>
      <c r="HM6" s="882"/>
      <c r="HN6" s="882"/>
      <c r="HO6" s="882"/>
      <c r="HP6" s="882"/>
      <c r="HQ6" s="882"/>
      <c r="HR6" s="882"/>
      <c r="HS6" s="882"/>
      <c r="HT6" s="882"/>
      <c r="HU6" s="882"/>
      <c r="HV6" s="882"/>
      <c r="HW6" s="882"/>
      <c r="HX6" s="882"/>
      <c r="HY6" s="882"/>
      <c r="HZ6" s="882"/>
      <c r="IA6" s="882"/>
      <c r="IB6" s="882"/>
      <c r="IC6" s="882"/>
      <c r="ID6" s="882"/>
      <c r="IE6" s="882"/>
      <c r="IF6" s="882"/>
      <c r="IG6" s="882"/>
      <c r="IH6" s="882"/>
      <c r="II6" s="882"/>
      <c r="IJ6" s="882"/>
      <c r="IK6" s="882"/>
      <c r="IL6" s="882"/>
      <c r="IM6" s="882"/>
      <c r="IN6" s="882"/>
      <c r="IO6" s="882"/>
      <c r="IP6" s="882"/>
      <c r="IQ6" s="882"/>
      <c r="IR6" s="882"/>
    </row>
    <row r="7" spans="1:252" s="987" customFormat="1">
      <c r="A7" s="108"/>
      <c r="B7" s="105"/>
      <c r="C7" s="105"/>
      <c r="D7" s="105"/>
      <c r="E7" s="105"/>
      <c r="F7" s="882"/>
      <c r="G7" s="882"/>
      <c r="H7" s="105"/>
      <c r="I7" s="105"/>
      <c r="J7" s="105"/>
      <c r="K7" s="105"/>
      <c r="L7" s="105"/>
      <c r="M7" s="105"/>
      <c r="N7" s="105"/>
      <c r="O7" s="105"/>
      <c r="P7" s="105"/>
      <c r="Q7" s="988"/>
      <c r="R7" s="989"/>
      <c r="S7" s="819"/>
      <c r="T7" s="989"/>
      <c r="U7" s="819"/>
      <c r="V7" s="819"/>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882"/>
      <c r="CK7" s="882"/>
      <c r="CL7" s="882"/>
      <c r="CM7" s="882"/>
      <c r="CN7" s="882"/>
      <c r="CO7" s="882"/>
      <c r="CP7" s="882"/>
      <c r="CQ7" s="882"/>
      <c r="CR7" s="882"/>
      <c r="CS7" s="882"/>
      <c r="CT7" s="882"/>
      <c r="CU7" s="882"/>
      <c r="CV7" s="882"/>
      <c r="CW7" s="882"/>
      <c r="CX7" s="882"/>
      <c r="CY7" s="882"/>
      <c r="CZ7" s="882"/>
      <c r="DA7" s="882"/>
      <c r="DB7" s="882"/>
      <c r="DC7" s="882"/>
      <c r="DD7" s="882"/>
      <c r="DE7" s="882"/>
      <c r="DF7" s="882"/>
      <c r="DG7" s="882"/>
      <c r="DH7" s="882"/>
      <c r="DI7" s="882"/>
      <c r="DJ7" s="882"/>
      <c r="DK7" s="882"/>
      <c r="DL7" s="882"/>
      <c r="DM7" s="882"/>
      <c r="DN7" s="882"/>
      <c r="DO7" s="882"/>
      <c r="DP7" s="882"/>
      <c r="DQ7" s="882"/>
      <c r="DR7" s="882"/>
      <c r="DS7" s="882"/>
      <c r="DT7" s="882"/>
      <c r="DU7" s="882"/>
      <c r="DV7" s="882"/>
      <c r="DW7" s="882"/>
      <c r="DX7" s="882"/>
      <c r="DY7" s="882"/>
      <c r="DZ7" s="882"/>
      <c r="EA7" s="882"/>
      <c r="EB7" s="882"/>
      <c r="EC7" s="882"/>
      <c r="ED7" s="882"/>
      <c r="EE7" s="882"/>
      <c r="EF7" s="882"/>
      <c r="EG7" s="882"/>
      <c r="EH7" s="882"/>
      <c r="EI7" s="882"/>
      <c r="EJ7" s="882"/>
      <c r="EK7" s="882"/>
      <c r="EL7" s="882"/>
      <c r="EM7" s="882"/>
      <c r="EN7" s="882"/>
      <c r="EO7" s="882"/>
      <c r="EP7" s="882"/>
      <c r="EQ7" s="882"/>
      <c r="ER7" s="882"/>
      <c r="ES7" s="882"/>
      <c r="ET7" s="882"/>
      <c r="EU7" s="882"/>
      <c r="EV7" s="882"/>
      <c r="EW7" s="882"/>
      <c r="EX7" s="882"/>
      <c r="EY7" s="882"/>
      <c r="EZ7" s="882"/>
      <c r="FA7" s="882"/>
      <c r="FB7" s="882"/>
      <c r="FC7" s="882"/>
      <c r="FD7" s="882"/>
      <c r="FE7" s="882"/>
      <c r="FF7" s="882"/>
      <c r="FG7" s="882"/>
      <c r="FH7" s="882"/>
      <c r="FI7" s="882"/>
      <c r="FJ7" s="882"/>
      <c r="FK7" s="882"/>
      <c r="FL7" s="882"/>
      <c r="FM7" s="882"/>
      <c r="FN7" s="882"/>
      <c r="FO7" s="882"/>
      <c r="FP7" s="882"/>
      <c r="FQ7" s="882"/>
      <c r="FR7" s="882"/>
      <c r="FS7" s="882"/>
      <c r="FT7" s="882"/>
      <c r="FU7" s="882"/>
      <c r="FV7" s="882"/>
      <c r="FW7" s="882"/>
      <c r="FX7" s="882"/>
      <c r="FY7" s="882"/>
      <c r="FZ7" s="882"/>
      <c r="GA7" s="882"/>
      <c r="GB7" s="882"/>
      <c r="GC7" s="882"/>
      <c r="GD7" s="882"/>
      <c r="GE7" s="882"/>
      <c r="GF7" s="882"/>
      <c r="GG7" s="882"/>
      <c r="GH7" s="882"/>
      <c r="GI7" s="882"/>
      <c r="GJ7" s="882"/>
      <c r="GK7" s="882"/>
      <c r="GL7" s="882"/>
      <c r="GM7" s="882"/>
      <c r="GN7" s="882"/>
      <c r="GO7" s="882"/>
      <c r="GP7" s="882"/>
      <c r="GQ7" s="882"/>
      <c r="GR7" s="882"/>
      <c r="GS7" s="882"/>
      <c r="GT7" s="882"/>
      <c r="GU7" s="882"/>
      <c r="GV7" s="882"/>
      <c r="GW7" s="882"/>
      <c r="GX7" s="882"/>
      <c r="GY7" s="882"/>
      <c r="GZ7" s="882"/>
      <c r="HA7" s="882"/>
      <c r="HB7" s="882"/>
      <c r="HC7" s="882"/>
      <c r="HD7" s="882"/>
      <c r="HE7" s="882"/>
      <c r="HF7" s="882"/>
      <c r="HG7" s="882"/>
      <c r="HH7" s="882"/>
      <c r="HI7" s="882"/>
      <c r="HJ7" s="882"/>
      <c r="HK7" s="882"/>
      <c r="HL7" s="882"/>
      <c r="HM7" s="882"/>
      <c r="HN7" s="882"/>
      <c r="HO7" s="882"/>
      <c r="HP7" s="882"/>
      <c r="HQ7" s="882"/>
      <c r="HR7" s="882"/>
      <c r="HS7" s="882"/>
      <c r="HT7" s="882"/>
      <c r="HU7" s="882"/>
      <c r="HV7" s="882"/>
      <c r="HW7" s="882"/>
      <c r="HX7" s="882"/>
      <c r="HY7" s="882"/>
      <c r="HZ7" s="882"/>
      <c r="IA7" s="882"/>
      <c r="IB7" s="882"/>
      <c r="IC7" s="882"/>
      <c r="ID7" s="882"/>
      <c r="IE7" s="882"/>
      <c r="IF7" s="882"/>
      <c r="IG7" s="882"/>
      <c r="IH7" s="882"/>
      <c r="II7" s="882"/>
      <c r="IJ7" s="882"/>
      <c r="IK7" s="882"/>
      <c r="IL7" s="882"/>
      <c r="IM7" s="882"/>
      <c r="IN7" s="882"/>
      <c r="IO7" s="882"/>
      <c r="IP7" s="882"/>
      <c r="IQ7" s="882"/>
      <c r="IR7" s="882"/>
    </row>
    <row r="8" spans="1:252" s="987" customFormat="1">
      <c r="B8" s="105"/>
      <c r="C8" s="105"/>
      <c r="D8" s="105"/>
      <c r="E8" s="105"/>
      <c r="F8" s="882"/>
      <c r="G8" s="882"/>
      <c r="H8" s="105"/>
      <c r="I8" s="105"/>
      <c r="J8" s="105"/>
      <c r="K8" s="105"/>
      <c r="L8" s="105"/>
      <c r="M8" s="105"/>
      <c r="N8" s="105"/>
      <c r="O8" s="105"/>
      <c r="P8" s="105"/>
      <c r="Q8" s="988"/>
      <c r="R8" s="989"/>
      <c r="S8" s="819"/>
      <c r="T8" s="989"/>
      <c r="U8" s="819"/>
      <c r="V8" s="819"/>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c r="BA8" s="882"/>
      <c r="BB8" s="882"/>
      <c r="BC8" s="882"/>
      <c r="BD8" s="882"/>
      <c r="BE8" s="882"/>
      <c r="BF8" s="882"/>
      <c r="BG8" s="882"/>
      <c r="BH8" s="882"/>
      <c r="BI8" s="882"/>
      <c r="BJ8" s="882"/>
      <c r="BK8" s="882"/>
      <c r="BL8" s="882"/>
      <c r="BM8" s="882"/>
      <c r="BN8" s="882"/>
      <c r="BO8" s="882"/>
      <c r="BP8" s="882"/>
      <c r="BQ8" s="882"/>
      <c r="BR8" s="882"/>
      <c r="BS8" s="882"/>
      <c r="BT8" s="882"/>
      <c r="BU8" s="882"/>
      <c r="BV8" s="882"/>
      <c r="BW8" s="882"/>
      <c r="BX8" s="882"/>
      <c r="BY8" s="882"/>
      <c r="BZ8" s="882"/>
      <c r="CA8" s="882"/>
      <c r="CB8" s="882"/>
      <c r="CC8" s="882"/>
      <c r="CD8" s="882"/>
      <c r="CE8" s="882"/>
      <c r="CF8" s="882"/>
      <c r="CG8" s="882"/>
      <c r="CH8" s="882"/>
      <c r="CI8" s="882"/>
      <c r="CJ8" s="882"/>
      <c r="CK8" s="882"/>
      <c r="CL8" s="882"/>
      <c r="CM8" s="882"/>
      <c r="CN8" s="882"/>
      <c r="CO8" s="882"/>
      <c r="CP8" s="882"/>
      <c r="CQ8" s="882"/>
      <c r="CR8" s="882"/>
      <c r="CS8" s="882"/>
      <c r="CT8" s="882"/>
      <c r="CU8" s="882"/>
      <c r="CV8" s="882"/>
      <c r="CW8" s="882"/>
      <c r="CX8" s="882"/>
      <c r="CY8" s="882"/>
      <c r="CZ8" s="882"/>
      <c r="DA8" s="882"/>
      <c r="DB8" s="882"/>
      <c r="DC8" s="882"/>
      <c r="DD8" s="882"/>
      <c r="DE8" s="882"/>
      <c r="DF8" s="882"/>
      <c r="DG8" s="882"/>
      <c r="DH8" s="882"/>
      <c r="DI8" s="882"/>
      <c r="DJ8" s="882"/>
      <c r="DK8" s="882"/>
      <c r="DL8" s="882"/>
      <c r="DM8" s="882"/>
      <c r="DN8" s="882"/>
      <c r="DO8" s="882"/>
      <c r="DP8" s="882"/>
      <c r="DQ8" s="882"/>
      <c r="DR8" s="882"/>
      <c r="DS8" s="882"/>
      <c r="DT8" s="882"/>
      <c r="DU8" s="882"/>
      <c r="DV8" s="882"/>
      <c r="DW8" s="882"/>
      <c r="DX8" s="882"/>
      <c r="DY8" s="882"/>
      <c r="DZ8" s="882"/>
      <c r="EA8" s="882"/>
      <c r="EB8" s="882"/>
      <c r="EC8" s="882"/>
      <c r="ED8" s="882"/>
      <c r="EE8" s="882"/>
      <c r="EF8" s="882"/>
      <c r="EG8" s="882"/>
      <c r="EH8" s="882"/>
      <c r="EI8" s="882"/>
      <c r="EJ8" s="882"/>
      <c r="EK8" s="882"/>
      <c r="EL8" s="882"/>
      <c r="EM8" s="882"/>
      <c r="EN8" s="882"/>
      <c r="EO8" s="882"/>
      <c r="EP8" s="882"/>
      <c r="EQ8" s="882"/>
      <c r="ER8" s="882"/>
      <c r="ES8" s="882"/>
      <c r="ET8" s="882"/>
      <c r="EU8" s="882"/>
      <c r="EV8" s="882"/>
      <c r="EW8" s="882"/>
      <c r="EX8" s="882"/>
      <c r="EY8" s="882"/>
      <c r="EZ8" s="882"/>
      <c r="FA8" s="882"/>
      <c r="FB8" s="882"/>
      <c r="FC8" s="882"/>
      <c r="FD8" s="882"/>
      <c r="FE8" s="882"/>
      <c r="FF8" s="882"/>
      <c r="FG8" s="882"/>
      <c r="FH8" s="882"/>
      <c r="FI8" s="882"/>
      <c r="FJ8" s="882"/>
      <c r="FK8" s="882"/>
      <c r="FL8" s="882"/>
      <c r="FM8" s="882"/>
      <c r="FN8" s="882"/>
      <c r="FO8" s="882"/>
      <c r="FP8" s="882"/>
      <c r="FQ8" s="882"/>
      <c r="FR8" s="882"/>
      <c r="FS8" s="882"/>
      <c r="FT8" s="882"/>
      <c r="FU8" s="882"/>
      <c r="FV8" s="882"/>
      <c r="FW8" s="882"/>
      <c r="FX8" s="882"/>
      <c r="FY8" s="882"/>
      <c r="FZ8" s="882"/>
      <c r="GA8" s="882"/>
      <c r="GB8" s="882"/>
      <c r="GC8" s="882"/>
      <c r="GD8" s="882"/>
      <c r="GE8" s="882"/>
      <c r="GF8" s="882"/>
      <c r="GG8" s="882"/>
      <c r="GH8" s="882"/>
      <c r="GI8" s="882"/>
      <c r="GJ8" s="882"/>
      <c r="GK8" s="882"/>
      <c r="GL8" s="882"/>
      <c r="GM8" s="882"/>
      <c r="GN8" s="882"/>
      <c r="GO8" s="882"/>
      <c r="GP8" s="882"/>
      <c r="GQ8" s="882"/>
      <c r="GR8" s="882"/>
      <c r="GS8" s="882"/>
      <c r="GT8" s="882"/>
      <c r="GU8" s="882"/>
      <c r="GV8" s="882"/>
      <c r="GW8" s="882"/>
      <c r="GX8" s="882"/>
      <c r="GY8" s="882"/>
      <c r="GZ8" s="882"/>
      <c r="HA8" s="882"/>
      <c r="HB8" s="882"/>
      <c r="HC8" s="882"/>
      <c r="HD8" s="882"/>
      <c r="HE8" s="882"/>
      <c r="HF8" s="882"/>
      <c r="HG8" s="882"/>
      <c r="HH8" s="882"/>
      <c r="HI8" s="882"/>
      <c r="HJ8" s="882"/>
      <c r="HK8" s="882"/>
      <c r="HL8" s="882"/>
      <c r="HM8" s="882"/>
      <c r="HN8" s="882"/>
      <c r="HO8" s="882"/>
      <c r="HP8" s="882"/>
      <c r="HQ8" s="882"/>
      <c r="HR8" s="882"/>
      <c r="HS8" s="882"/>
      <c r="HT8" s="882"/>
      <c r="HU8" s="882"/>
      <c r="HV8" s="882"/>
      <c r="HW8" s="882"/>
      <c r="HX8" s="882"/>
      <c r="HY8" s="882"/>
      <c r="HZ8" s="882"/>
      <c r="IA8" s="882"/>
      <c r="IB8" s="882"/>
      <c r="IC8" s="882"/>
      <c r="ID8" s="882"/>
      <c r="IE8" s="882"/>
      <c r="IF8" s="882"/>
      <c r="IG8" s="882"/>
      <c r="IH8" s="882"/>
      <c r="II8" s="882"/>
      <c r="IJ8" s="882"/>
      <c r="IK8" s="882"/>
      <c r="IL8" s="882"/>
      <c r="IM8" s="882"/>
      <c r="IN8" s="882"/>
      <c r="IO8" s="882"/>
      <c r="IP8" s="882"/>
      <c r="IQ8" s="882"/>
      <c r="IR8" s="882"/>
    </row>
    <row r="9" spans="1:252" s="987" customFormat="1" ht="8.15" customHeight="1">
      <c r="A9" s="988"/>
      <c r="B9" s="105"/>
      <c r="C9" s="105"/>
      <c r="D9" s="105"/>
      <c r="E9" s="105"/>
      <c r="F9" s="105"/>
      <c r="G9" s="882"/>
      <c r="H9" s="105"/>
      <c r="I9" s="105"/>
      <c r="J9" s="105"/>
      <c r="K9" s="105"/>
      <c r="L9" s="105"/>
      <c r="M9" s="105"/>
      <c r="N9" s="105"/>
      <c r="O9" s="105"/>
      <c r="P9" s="105"/>
      <c r="Q9" s="988"/>
      <c r="R9" s="990"/>
      <c r="S9" s="988"/>
      <c r="T9" s="986"/>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882"/>
      <c r="CK9" s="882"/>
      <c r="CL9" s="882"/>
      <c r="CM9" s="882"/>
      <c r="CN9" s="882"/>
      <c r="CO9" s="882"/>
      <c r="CP9" s="882"/>
      <c r="CQ9" s="882"/>
      <c r="CR9" s="882"/>
      <c r="CS9" s="882"/>
      <c r="CT9" s="882"/>
      <c r="CU9" s="882"/>
      <c r="CV9" s="882"/>
      <c r="CW9" s="882"/>
      <c r="CX9" s="882"/>
      <c r="CY9" s="882"/>
      <c r="CZ9" s="882"/>
      <c r="DA9" s="882"/>
      <c r="DB9" s="882"/>
      <c r="DC9" s="882"/>
      <c r="DD9" s="882"/>
      <c r="DE9" s="882"/>
      <c r="DF9" s="882"/>
      <c r="DG9" s="882"/>
      <c r="DH9" s="882"/>
      <c r="DI9" s="882"/>
      <c r="DJ9" s="882"/>
      <c r="DK9" s="882"/>
      <c r="DL9" s="882"/>
      <c r="DM9" s="882"/>
      <c r="DN9" s="882"/>
      <c r="DO9" s="882"/>
      <c r="DP9" s="882"/>
      <c r="DQ9" s="882"/>
      <c r="DR9" s="882"/>
      <c r="DS9" s="882"/>
      <c r="DT9" s="882"/>
      <c r="DU9" s="882"/>
      <c r="DV9" s="882"/>
      <c r="DW9" s="882"/>
      <c r="DX9" s="882"/>
      <c r="DY9" s="882"/>
      <c r="DZ9" s="882"/>
      <c r="EA9" s="882"/>
      <c r="EB9" s="882"/>
      <c r="EC9" s="882"/>
      <c r="ED9" s="882"/>
      <c r="EE9" s="882"/>
      <c r="EF9" s="882"/>
      <c r="EG9" s="882"/>
      <c r="EH9" s="882"/>
      <c r="EI9" s="882"/>
      <c r="EJ9" s="882"/>
      <c r="EK9" s="882"/>
      <c r="EL9" s="882"/>
      <c r="EM9" s="882"/>
      <c r="EN9" s="882"/>
      <c r="EO9" s="882"/>
      <c r="EP9" s="882"/>
      <c r="EQ9" s="882"/>
      <c r="ER9" s="882"/>
      <c r="ES9" s="882"/>
      <c r="ET9" s="882"/>
      <c r="EU9" s="882"/>
      <c r="EV9" s="882"/>
      <c r="EW9" s="882"/>
      <c r="EX9" s="882"/>
      <c r="EY9" s="882"/>
      <c r="EZ9" s="882"/>
      <c r="FA9" s="882"/>
      <c r="FB9" s="882"/>
      <c r="FC9" s="882"/>
      <c r="FD9" s="882"/>
      <c r="FE9" s="882"/>
      <c r="FF9" s="882"/>
      <c r="FG9" s="882"/>
      <c r="FH9" s="882"/>
      <c r="FI9" s="882"/>
      <c r="FJ9" s="882"/>
      <c r="FK9" s="882"/>
      <c r="FL9" s="882"/>
      <c r="FM9" s="882"/>
      <c r="FN9" s="882"/>
      <c r="FO9" s="882"/>
      <c r="FP9" s="882"/>
      <c r="FQ9" s="882"/>
      <c r="FR9" s="882"/>
      <c r="FS9" s="882"/>
      <c r="FT9" s="882"/>
      <c r="FU9" s="882"/>
      <c r="FV9" s="882"/>
      <c r="FW9" s="882"/>
      <c r="FX9" s="882"/>
      <c r="FY9" s="882"/>
      <c r="FZ9" s="882"/>
      <c r="GA9" s="882"/>
      <c r="GB9" s="882"/>
      <c r="GC9" s="882"/>
      <c r="GD9" s="882"/>
      <c r="GE9" s="882"/>
      <c r="GF9" s="882"/>
      <c r="GG9" s="882"/>
      <c r="GH9" s="882"/>
      <c r="GI9" s="882"/>
      <c r="GJ9" s="882"/>
      <c r="GK9" s="882"/>
      <c r="GL9" s="882"/>
      <c r="GM9" s="882"/>
      <c r="GN9" s="882"/>
      <c r="GO9" s="882"/>
      <c r="GP9" s="882"/>
      <c r="GQ9" s="882"/>
      <c r="GR9" s="882"/>
      <c r="GS9" s="882"/>
      <c r="GT9" s="882"/>
      <c r="GU9" s="882"/>
      <c r="GV9" s="882"/>
      <c r="GW9" s="882"/>
      <c r="GX9" s="882"/>
      <c r="GY9" s="882"/>
      <c r="GZ9" s="882"/>
      <c r="HA9" s="882"/>
      <c r="HB9" s="882"/>
      <c r="HC9" s="882"/>
      <c r="HD9" s="882"/>
      <c r="HE9" s="882"/>
      <c r="HF9" s="882"/>
      <c r="HG9" s="882"/>
      <c r="HH9" s="882"/>
      <c r="HI9" s="882"/>
      <c r="HJ9" s="882"/>
      <c r="HK9" s="882"/>
      <c r="HL9" s="882"/>
      <c r="HM9" s="882"/>
      <c r="HN9" s="882"/>
      <c r="HO9" s="882"/>
      <c r="HP9" s="882"/>
      <c r="HQ9" s="882"/>
      <c r="HR9" s="882"/>
      <c r="HS9" s="882"/>
      <c r="HT9" s="882"/>
      <c r="HU9" s="882"/>
      <c r="HV9" s="882"/>
      <c r="HW9" s="882"/>
      <c r="HX9" s="882"/>
      <c r="HY9" s="882"/>
      <c r="HZ9" s="882"/>
      <c r="IA9" s="882"/>
      <c r="IB9" s="882"/>
      <c r="IC9" s="882"/>
      <c r="ID9" s="882"/>
      <c r="IE9" s="882"/>
      <c r="IF9" s="882"/>
      <c r="IG9" s="882"/>
      <c r="IH9" s="882"/>
      <c r="II9" s="882"/>
      <c r="IJ9" s="882"/>
      <c r="IK9" s="882"/>
      <c r="IL9" s="882"/>
      <c r="IM9" s="882"/>
      <c r="IN9" s="882"/>
      <c r="IO9" s="882"/>
      <c r="IP9" s="882"/>
      <c r="IQ9" s="882"/>
      <c r="IR9" s="882"/>
    </row>
    <row r="10" spans="1:252" s="987" customFormat="1">
      <c r="A10" s="988"/>
      <c r="B10" s="105"/>
      <c r="C10" s="105"/>
      <c r="D10" s="105"/>
      <c r="E10" s="105"/>
      <c r="F10" s="105"/>
      <c r="G10" s="882"/>
      <c r="H10" s="105"/>
      <c r="I10" s="105"/>
      <c r="J10" s="105"/>
      <c r="K10" s="105"/>
      <c r="L10" s="105"/>
      <c r="M10" s="105"/>
      <c r="N10" s="105"/>
      <c r="O10" s="105"/>
      <c r="P10" s="105"/>
      <c r="Q10" s="988"/>
      <c r="R10" s="989"/>
      <c r="S10" s="819"/>
      <c r="T10" s="989"/>
      <c r="U10" s="819"/>
      <c r="V10" s="819"/>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row>
    <row r="11" spans="1:252" s="987" customFormat="1">
      <c r="A11" s="988"/>
      <c r="B11" s="105"/>
      <c r="C11" s="105"/>
      <c r="D11" s="105"/>
      <c r="E11" s="105"/>
      <c r="F11" s="105"/>
      <c r="G11" s="882"/>
      <c r="H11" s="105"/>
      <c r="I11" s="105"/>
      <c r="K11" s="110"/>
      <c r="L11" s="883"/>
      <c r="M11" s="883"/>
      <c r="N11" s="110"/>
      <c r="O11" s="110"/>
      <c r="P11" s="110"/>
      <c r="Q11" s="988"/>
      <c r="R11" s="989"/>
      <c r="S11" s="819"/>
      <c r="T11" s="989"/>
      <c r="U11" s="819"/>
      <c r="V11" s="819"/>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882"/>
      <c r="CK11" s="882"/>
      <c r="CL11" s="882"/>
      <c r="CM11" s="882"/>
      <c r="CN11" s="882"/>
      <c r="CO11" s="882"/>
      <c r="CP11" s="882"/>
      <c r="CQ11" s="882"/>
      <c r="CR11" s="882"/>
      <c r="CS11" s="882"/>
      <c r="CT11" s="882"/>
      <c r="CU11" s="882"/>
      <c r="CV11" s="882"/>
      <c r="CW11" s="882"/>
      <c r="CX11" s="882"/>
      <c r="CY11" s="882"/>
      <c r="CZ11" s="882"/>
      <c r="DA11" s="882"/>
      <c r="DB11" s="882"/>
      <c r="DC11" s="882"/>
      <c r="DD11" s="882"/>
      <c r="DE11" s="882"/>
      <c r="DF11" s="882"/>
      <c r="DG11" s="882"/>
      <c r="DH11" s="882"/>
      <c r="DI11" s="882"/>
      <c r="DJ11" s="882"/>
      <c r="DK11" s="882"/>
      <c r="DL11" s="882"/>
      <c r="DM11" s="882"/>
      <c r="DN11" s="882"/>
      <c r="DO11" s="882"/>
      <c r="DP11" s="882"/>
      <c r="DQ11" s="882"/>
      <c r="DR11" s="882"/>
      <c r="DS11" s="882"/>
      <c r="DT11" s="882"/>
      <c r="DU11" s="882"/>
      <c r="DV11" s="882"/>
      <c r="DW11" s="882"/>
      <c r="DX11" s="882"/>
      <c r="DY11" s="882"/>
      <c r="DZ11" s="882"/>
      <c r="EA11" s="882"/>
      <c r="EB11" s="882"/>
      <c r="EC11" s="882"/>
      <c r="ED11" s="882"/>
      <c r="EE11" s="882"/>
      <c r="EF11" s="882"/>
      <c r="EG11" s="882"/>
      <c r="EH11" s="882"/>
      <c r="EI11" s="882"/>
      <c r="EJ11" s="882"/>
      <c r="EK11" s="882"/>
      <c r="EL11" s="882"/>
      <c r="EM11" s="882"/>
      <c r="EN11" s="882"/>
      <c r="EO11" s="882"/>
      <c r="EP11" s="882"/>
      <c r="EQ11" s="882"/>
      <c r="ER11" s="882"/>
      <c r="ES11" s="882"/>
      <c r="ET11" s="882"/>
      <c r="EU11" s="882"/>
      <c r="EV11" s="882"/>
      <c r="EW11" s="882"/>
      <c r="EX11" s="882"/>
      <c r="EY11" s="882"/>
      <c r="EZ11" s="882"/>
      <c r="FA11" s="882"/>
      <c r="FB11" s="882"/>
      <c r="FC11" s="882"/>
      <c r="FD11" s="882"/>
      <c r="FE11" s="882"/>
      <c r="FF11" s="882"/>
      <c r="FG11" s="882"/>
      <c r="FH11" s="882"/>
      <c r="FI11" s="882"/>
      <c r="FJ11" s="882"/>
      <c r="FK11" s="882"/>
      <c r="FL11" s="882"/>
      <c r="FM11" s="882"/>
      <c r="FN11" s="882"/>
      <c r="FO11" s="882"/>
      <c r="FP11" s="882"/>
      <c r="FQ11" s="882"/>
      <c r="FR11" s="882"/>
      <c r="FS11" s="882"/>
      <c r="FT11" s="882"/>
      <c r="FU11" s="882"/>
      <c r="FV11" s="882"/>
      <c r="FW11" s="882"/>
      <c r="FX11" s="882"/>
      <c r="FY11" s="882"/>
      <c r="FZ11" s="882"/>
      <c r="GA11" s="882"/>
      <c r="GB11" s="882"/>
      <c r="GC11" s="882"/>
      <c r="GD11" s="882"/>
      <c r="GE11" s="882"/>
      <c r="GF11" s="882"/>
      <c r="GG11" s="882"/>
      <c r="GH11" s="882"/>
      <c r="GI11" s="882"/>
      <c r="GJ11" s="882"/>
      <c r="GK11" s="882"/>
      <c r="GL11" s="882"/>
      <c r="GM11" s="882"/>
      <c r="GN11" s="882"/>
      <c r="GO11" s="882"/>
      <c r="GP11" s="882"/>
      <c r="GQ11" s="882"/>
      <c r="GR11" s="882"/>
      <c r="GS11" s="882"/>
      <c r="GT11" s="882"/>
      <c r="GU11" s="882"/>
      <c r="GV11" s="882"/>
      <c r="GW11" s="882"/>
      <c r="GX11" s="882"/>
      <c r="GY11" s="882"/>
      <c r="GZ11" s="882"/>
      <c r="HA11" s="882"/>
      <c r="HB11" s="882"/>
      <c r="HC11" s="882"/>
      <c r="HD11" s="882"/>
      <c r="HE11" s="882"/>
      <c r="HF11" s="882"/>
      <c r="HG11" s="882"/>
      <c r="HH11" s="882"/>
      <c r="HI11" s="882"/>
      <c r="HJ11" s="882"/>
      <c r="HK11" s="882"/>
      <c r="HL11" s="882"/>
      <c r="HM11" s="882"/>
      <c r="HN11" s="882"/>
      <c r="HO11" s="882"/>
      <c r="HP11" s="882"/>
      <c r="HQ11" s="882"/>
      <c r="HR11" s="882"/>
      <c r="HS11" s="882"/>
      <c r="HT11" s="882"/>
      <c r="HU11" s="882"/>
      <c r="HV11" s="882"/>
      <c r="HW11" s="882"/>
      <c r="HX11" s="882"/>
      <c r="HY11" s="882"/>
      <c r="HZ11" s="882"/>
      <c r="IA11" s="882"/>
      <c r="IB11" s="882"/>
      <c r="IC11" s="882"/>
      <c r="ID11" s="882"/>
      <c r="IE11" s="882"/>
      <c r="IF11" s="882"/>
      <c r="IG11" s="882"/>
      <c r="IH11" s="882"/>
      <c r="II11" s="882"/>
      <c r="IJ11" s="882"/>
      <c r="IK11" s="882"/>
      <c r="IL11" s="882"/>
      <c r="IM11" s="882"/>
      <c r="IN11" s="882"/>
      <c r="IO11" s="882"/>
      <c r="IP11" s="882"/>
      <c r="IQ11" s="882"/>
      <c r="IR11" s="882"/>
    </row>
    <row r="12" spans="1:252" ht="16.399999999999999" customHeight="1">
      <c r="A12" s="988"/>
      <c r="B12" s="110" t="s">
        <v>78</v>
      </c>
      <c r="C12" s="991"/>
      <c r="D12" s="110"/>
      <c r="E12" s="105"/>
      <c r="F12" s="110" t="s">
        <v>79</v>
      </c>
      <c r="G12" s="991"/>
      <c r="H12" s="110"/>
      <c r="I12" s="105"/>
      <c r="J12" s="110" t="s">
        <v>80</v>
      </c>
      <c r="K12" s="110"/>
      <c r="L12" s="883"/>
      <c r="M12" s="110"/>
      <c r="N12" s="110"/>
      <c r="O12" s="110"/>
      <c r="P12" s="110"/>
      <c r="Q12" s="988"/>
      <c r="R12" s="992"/>
      <c r="S12" s="3921" t="s">
        <v>816</v>
      </c>
      <c r="T12" s="3921"/>
      <c r="U12" s="3921"/>
      <c r="V12" s="819"/>
    </row>
    <row r="13" spans="1:252" ht="13.4" customHeight="1">
      <c r="A13" s="988"/>
      <c r="B13" s="993"/>
      <c r="C13" s="993"/>
      <c r="D13" s="993"/>
      <c r="E13" s="988"/>
      <c r="F13" s="993"/>
      <c r="G13" s="994"/>
      <c r="H13" s="993"/>
      <c r="I13" s="988"/>
      <c r="J13" s="993"/>
      <c r="K13" s="993"/>
      <c r="L13" s="993"/>
      <c r="M13" s="993"/>
      <c r="N13" s="993"/>
      <c r="O13" s="993"/>
      <c r="P13" s="993"/>
      <c r="Q13" s="988"/>
      <c r="R13" s="995"/>
      <c r="S13" s="988"/>
      <c r="T13" s="996"/>
      <c r="U13" s="818"/>
      <c r="V13" s="819"/>
    </row>
    <row r="14" spans="1:252" ht="16.399999999999999" customHeight="1">
      <c r="A14" s="988"/>
      <c r="B14" s="734" t="s">
        <v>6</v>
      </c>
      <c r="C14" s="105"/>
      <c r="D14" s="735" t="str">
        <f>'Exhibit A'!F11</f>
        <v>1 MO. ENDED</v>
      </c>
      <c r="E14" s="105"/>
      <c r="F14" s="734" t="s">
        <v>6</v>
      </c>
      <c r="G14" s="736"/>
      <c r="H14" s="734" t="str">
        <f>D14</f>
        <v>1 MO. ENDED</v>
      </c>
      <c r="I14" s="105"/>
      <c r="J14" s="734" t="s">
        <v>6</v>
      </c>
      <c r="K14" s="105"/>
      <c r="L14" s="734" t="str">
        <f>D14</f>
        <v>1 MO. ENDED</v>
      </c>
      <c r="M14" s="105"/>
      <c r="N14" s="734" t="s">
        <v>6</v>
      </c>
      <c r="O14" s="105"/>
      <c r="P14" s="734" t="str">
        <f>H14</f>
        <v>1 MO. ENDED</v>
      </c>
      <c r="Q14" s="988"/>
      <c r="R14" s="995"/>
      <c r="S14" s="3301" t="s">
        <v>7</v>
      </c>
      <c r="T14" s="210"/>
      <c r="U14" s="743" t="s">
        <v>8</v>
      </c>
      <c r="V14" s="819"/>
    </row>
    <row r="15" spans="1:252" ht="16.399999999999999" customHeight="1">
      <c r="A15" s="988"/>
      <c r="B15" s="899" t="str">
        <f>'Exhibit A'!D12</f>
        <v>APR. 2021</v>
      </c>
      <c r="C15" s="105"/>
      <c r="D15" s="899" t="str">
        <f>'Exhibit A'!F12</f>
        <v>APR. 30, 2021</v>
      </c>
      <c r="E15" s="105"/>
      <c r="F15" s="737" t="str">
        <f>+B15</f>
        <v>APR. 2021</v>
      </c>
      <c r="G15" s="105"/>
      <c r="H15" s="738" t="str">
        <f>D15</f>
        <v>APR. 30, 2021</v>
      </c>
      <c r="I15" s="105"/>
      <c r="J15" s="737" t="str">
        <f>+F15</f>
        <v>APR. 2021</v>
      </c>
      <c r="K15" s="105"/>
      <c r="L15" s="738" t="str">
        <f>D15</f>
        <v>APR. 30, 2021</v>
      </c>
      <c r="M15" s="105"/>
      <c r="N15" s="3482" t="str">
        <f>'Exhibit A'!AB12</f>
        <v>APR. 2020</v>
      </c>
      <c r="O15" s="105"/>
      <c r="P15" s="899" t="str">
        <f>'Exhibit A'!AD12</f>
        <v>APR. 30, 2020</v>
      </c>
      <c r="Q15" s="988"/>
      <c r="R15" s="995"/>
      <c r="S15" s="3302" t="s">
        <v>11</v>
      </c>
      <c r="T15" s="209"/>
      <c r="U15" s="746" t="s">
        <v>12</v>
      </c>
      <c r="V15" s="819"/>
    </row>
    <row r="16" spans="1:252" ht="13.4" customHeight="1">
      <c r="A16" s="988"/>
      <c r="B16" s="990"/>
      <c r="C16" s="988"/>
      <c r="D16" s="990" t="s">
        <v>14</v>
      </c>
      <c r="E16" s="988"/>
      <c r="F16" s="993"/>
      <c r="G16" s="988"/>
      <c r="H16" s="997" t="s">
        <v>14</v>
      </c>
      <c r="I16" s="990"/>
      <c r="J16" s="998"/>
      <c r="K16" s="988"/>
      <c r="L16" s="999"/>
      <c r="M16" s="990"/>
      <c r="N16" s="990"/>
      <c r="O16" s="988"/>
      <c r="P16" s="990"/>
      <c r="Q16" s="988"/>
      <c r="R16" s="1000"/>
      <c r="S16" s="819"/>
      <c r="T16" s="990"/>
      <c r="U16" s="819"/>
      <c r="V16" s="819"/>
    </row>
    <row r="17" spans="1:245" ht="16.399999999999999" customHeight="1">
      <c r="A17" s="105" t="s">
        <v>13</v>
      </c>
      <c r="B17" s="1001"/>
      <c r="C17" s="1001"/>
      <c r="D17" s="1001"/>
      <c r="E17" s="1001"/>
      <c r="F17" s="1002"/>
      <c r="G17" s="1001"/>
      <c r="H17" s="1003"/>
      <c r="I17" s="1002"/>
      <c r="J17" s="1004"/>
      <c r="K17" s="1001"/>
      <c r="L17" s="1003"/>
      <c r="M17" s="1002"/>
      <c r="N17" s="1002"/>
      <c r="O17" s="1001"/>
      <c r="P17" s="1002"/>
      <c r="Q17" s="988"/>
      <c r="R17" s="1005"/>
      <c r="S17" s="819"/>
      <c r="T17" s="1002"/>
      <c r="U17" s="819"/>
      <c r="V17" s="819"/>
    </row>
    <row r="18" spans="1:245" ht="16.399999999999999" customHeight="1">
      <c r="A18" s="988" t="s">
        <v>19</v>
      </c>
      <c r="B18" s="1006">
        <f>+'Exhibit L'!B16</f>
        <v>5.9</v>
      </c>
      <c r="C18" s="888"/>
      <c r="D18" s="887">
        <f>+'Exhibit L'!AA16</f>
        <v>5.9</v>
      </c>
      <c r="E18" s="888"/>
      <c r="F18" s="1007">
        <f>'Exhibit M'!B16</f>
        <v>0.1</v>
      </c>
      <c r="G18" s="888"/>
      <c r="H18" s="1008">
        <f>+'Exhibit M'!AA16</f>
        <v>0.1</v>
      </c>
      <c r="I18" s="1009"/>
      <c r="J18" s="1010">
        <f>SUM(B18)+SUM(F18)</f>
        <v>6</v>
      </c>
      <c r="K18" s="888"/>
      <c r="L18" s="1008">
        <f>D18+SUM(H18)</f>
        <v>6</v>
      </c>
      <c r="M18" s="1009"/>
      <c r="N18" s="3483">
        <v>8.5000000000000018</v>
      </c>
      <c r="O18" s="888"/>
      <c r="P18" s="3483">
        <f>'Exhibit L'!AD16+'Exhibit M'!AD16</f>
        <v>8.5</v>
      </c>
      <c r="Q18" s="1011"/>
      <c r="R18" s="1012"/>
      <c r="S18" s="1117">
        <f>ROUND(SUM(L18-P18),1)</f>
        <v>-2.5</v>
      </c>
      <c r="T18" s="1013"/>
      <c r="U18" s="1377">
        <f>ROUND(IF(S18=0,0,S18/ABS(P18)),3)</f>
        <v>-0.29399999999999998</v>
      </c>
      <c r="V18" s="1014"/>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1015"/>
      <c r="AS18" s="1015"/>
      <c r="AT18" s="1015"/>
      <c r="AU18" s="1015"/>
      <c r="AV18" s="1015"/>
      <c r="AW18" s="1015"/>
      <c r="AX18" s="1015"/>
      <c r="AY18" s="1015"/>
      <c r="AZ18" s="1015"/>
      <c r="BA18" s="1015"/>
      <c r="BB18" s="1015"/>
      <c r="BC18" s="1015"/>
      <c r="BD18" s="1015"/>
      <c r="BE18" s="1015"/>
      <c r="BF18" s="1015"/>
      <c r="BG18" s="1015"/>
      <c r="BH18" s="1015"/>
      <c r="BI18" s="1015"/>
      <c r="BJ18" s="1015"/>
      <c r="BK18" s="1015"/>
      <c r="BL18" s="1015"/>
      <c r="BM18" s="1015"/>
      <c r="BN18" s="1015"/>
      <c r="BO18" s="1015"/>
      <c r="BP18" s="1015"/>
      <c r="BQ18" s="1015"/>
      <c r="BR18" s="1015"/>
      <c r="BS18" s="1015"/>
      <c r="BT18" s="1015"/>
      <c r="BU18" s="1015"/>
      <c r="BV18" s="1015"/>
      <c r="BW18" s="1015"/>
      <c r="BX18" s="1015"/>
      <c r="BY18" s="1015"/>
      <c r="BZ18" s="1015"/>
      <c r="CA18" s="1015"/>
      <c r="CB18" s="1015"/>
      <c r="CC18" s="1015"/>
      <c r="CD18" s="1015"/>
      <c r="CE18" s="1015"/>
      <c r="CF18" s="1015"/>
      <c r="CG18" s="1015"/>
      <c r="CH18" s="1015"/>
      <c r="CI18" s="1015"/>
      <c r="CJ18" s="1015"/>
      <c r="CK18" s="1015"/>
      <c r="CL18" s="1015"/>
      <c r="CM18" s="1015"/>
      <c r="CN18" s="1015"/>
      <c r="CO18" s="1015"/>
      <c r="CP18" s="1015"/>
      <c r="CQ18" s="1015"/>
      <c r="CR18" s="1015"/>
      <c r="CS18" s="1015"/>
      <c r="CT18" s="1015"/>
      <c r="CU18" s="1015"/>
      <c r="CV18" s="1015"/>
      <c r="CW18" s="1015"/>
      <c r="CX18" s="1015"/>
      <c r="CY18" s="1015"/>
      <c r="CZ18" s="1015"/>
      <c r="DA18" s="1015"/>
      <c r="DB18" s="1015"/>
      <c r="DC18" s="1015"/>
      <c r="DD18" s="1015"/>
      <c r="DE18" s="1015"/>
      <c r="DF18" s="1015"/>
      <c r="DG18" s="1015"/>
      <c r="DH18" s="1015"/>
      <c r="DI18" s="1015"/>
      <c r="DJ18" s="1015"/>
      <c r="DK18" s="1015"/>
      <c r="DL18" s="1015"/>
      <c r="DM18" s="1015"/>
      <c r="DN18" s="1015"/>
      <c r="DO18" s="1015"/>
      <c r="DP18" s="1015"/>
      <c r="DQ18" s="1015"/>
      <c r="DR18" s="1015"/>
      <c r="DS18" s="1015"/>
      <c r="DT18" s="1015"/>
      <c r="DU18" s="1015"/>
      <c r="DV18" s="1015"/>
      <c r="DW18" s="1015"/>
      <c r="DX18" s="1015"/>
      <c r="DY18" s="1015"/>
      <c r="DZ18" s="1015"/>
      <c r="EA18" s="1015"/>
      <c r="EB18" s="1015"/>
      <c r="EC18" s="1015"/>
      <c r="ED18" s="1015"/>
      <c r="EE18" s="1015"/>
      <c r="EF18" s="1015"/>
      <c r="EG18" s="1015"/>
      <c r="EH18" s="1015"/>
      <c r="EI18" s="1015"/>
      <c r="EJ18" s="1015"/>
      <c r="EK18" s="1015"/>
      <c r="EL18" s="1015"/>
      <c r="EM18" s="1015"/>
      <c r="EN18" s="1015"/>
      <c r="EO18" s="1015"/>
      <c r="EP18" s="1015"/>
      <c r="EQ18" s="1015"/>
      <c r="ER18" s="1015"/>
      <c r="ES18" s="1015"/>
      <c r="ET18" s="1015"/>
      <c r="EU18" s="1015"/>
      <c r="EV18" s="1015"/>
      <c r="EW18" s="1015"/>
      <c r="EX18" s="1015"/>
      <c r="EY18" s="1015"/>
      <c r="EZ18" s="1015"/>
      <c r="FA18" s="1015"/>
      <c r="FB18" s="1015"/>
      <c r="FC18" s="1015"/>
      <c r="FD18" s="1015"/>
      <c r="FE18" s="1015"/>
      <c r="FF18" s="1015"/>
      <c r="FG18" s="1015"/>
      <c r="FH18" s="1015"/>
      <c r="FI18" s="1015"/>
      <c r="FJ18" s="1015"/>
      <c r="FK18" s="1015"/>
      <c r="FL18" s="1015"/>
      <c r="FM18" s="1015"/>
      <c r="FN18" s="1015"/>
      <c r="FO18" s="1015"/>
      <c r="FP18" s="1015"/>
      <c r="FQ18" s="1015"/>
      <c r="FR18" s="1015"/>
      <c r="FS18" s="1015"/>
      <c r="FT18" s="1015"/>
      <c r="FU18" s="1015"/>
      <c r="FV18" s="1015"/>
      <c r="FW18" s="1015"/>
      <c r="FX18" s="1015"/>
      <c r="FY18" s="1015"/>
      <c r="FZ18" s="1015"/>
      <c r="GA18" s="1015"/>
      <c r="GB18" s="1015"/>
      <c r="GC18" s="1015"/>
      <c r="GD18" s="1015"/>
      <c r="GE18" s="1015"/>
      <c r="GF18" s="1015"/>
      <c r="GG18" s="1015"/>
      <c r="GH18" s="1015"/>
      <c r="GI18" s="1015"/>
      <c r="GJ18" s="1015"/>
      <c r="GK18" s="1015"/>
      <c r="GL18" s="1015"/>
      <c r="GM18" s="1015"/>
      <c r="GN18" s="1015"/>
      <c r="GO18" s="1015"/>
      <c r="GP18" s="1015"/>
      <c r="GQ18" s="1015"/>
      <c r="GR18" s="1015"/>
      <c r="GS18" s="1015"/>
      <c r="GT18" s="1015"/>
      <c r="GU18" s="1015"/>
      <c r="GV18" s="1015"/>
      <c r="GW18" s="1015"/>
      <c r="GX18" s="1015"/>
      <c r="GY18" s="1015"/>
      <c r="GZ18" s="1015"/>
      <c r="HA18" s="1015"/>
      <c r="HB18" s="1015"/>
      <c r="HC18" s="1015"/>
      <c r="HD18" s="1015"/>
      <c r="HE18" s="1015"/>
      <c r="HF18" s="1015"/>
      <c r="HG18" s="1015"/>
      <c r="HH18" s="1015"/>
      <c r="HI18" s="1015"/>
      <c r="HJ18" s="1015"/>
      <c r="HK18" s="1015"/>
      <c r="HL18" s="1015"/>
      <c r="HM18" s="1015"/>
      <c r="HN18" s="1015"/>
      <c r="HO18" s="1015"/>
      <c r="HP18" s="1015"/>
      <c r="HQ18" s="1015"/>
      <c r="HR18" s="1015"/>
      <c r="HS18" s="1015"/>
      <c r="HT18" s="1015"/>
      <c r="HU18" s="1015"/>
      <c r="HV18" s="1015"/>
      <c r="HW18" s="1015"/>
      <c r="HX18" s="1015"/>
      <c r="HY18" s="1015"/>
      <c r="HZ18" s="1015"/>
      <c r="IA18" s="1015"/>
      <c r="IB18" s="1015"/>
      <c r="IC18" s="1015"/>
      <c r="ID18" s="1015"/>
      <c r="IE18" s="1015"/>
      <c r="IF18" s="1015"/>
      <c r="IG18" s="1015"/>
      <c r="IH18" s="1015"/>
      <c r="II18" s="1015"/>
      <c r="IJ18" s="1015"/>
      <c r="IK18" s="1015"/>
    </row>
    <row r="19" spans="1:245">
      <c r="A19" s="105" t="s">
        <v>21</v>
      </c>
      <c r="B19" s="111">
        <f>ROUND(SUM(B18),1)</f>
        <v>5.9</v>
      </c>
      <c r="C19" s="112"/>
      <c r="D19" s="111">
        <f>ROUND(SUM(D18),1)</f>
        <v>5.9</v>
      </c>
      <c r="E19" s="112"/>
      <c r="F19" s="113">
        <f>ROUND(SUM(F18),1)</f>
        <v>0.1</v>
      </c>
      <c r="G19" s="112"/>
      <c r="H19" s="114">
        <f>ROUND(SUM(H18),1)</f>
        <v>0.1</v>
      </c>
      <c r="I19" s="115"/>
      <c r="J19" s="116">
        <f>ROUND(SUM(J18),1)</f>
        <v>6</v>
      </c>
      <c r="K19" s="112"/>
      <c r="L19" s="114">
        <f>ROUND(SUM(L18),1)</f>
        <v>6</v>
      </c>
      <c r="M19" s="115"/>
      <c r="N19" s="111">
        <f>ROUND(SUM(N18),1)</f>
        <v>8.5</v>
      </c>
      <c r="O19" s="112"/>
      <c r="P19" s="111">
        <f>ROUND(SUM(P18),1)</f>
        <v>8.5</v>
      </c>
      <c r="Q19" s="736"/>
      <c r="R19" s="1016"/>
      <c r="S19" s="1043">
        <f>ROUND(SUM(S18),3)</f>
        <v>-2.5</v>
      </c>
      <c r="T19" s="645"/>
      <c r="U19" s="1044">
        <f>ROUND(+S19/P19,3)</f>
        <v>-0.29399999999999998</v>
      </c>
      <c r="V19" s="819"/>
    </row>
    <row r="20" spans="1:245">
      <c r="A20" s="105"/>
      <c r="B20" s="889"/>
      <c r="C20" s="889"/>
      <c r="D20" s="889"/>
      <c r="E20" s="889"/>
      <c r="F20" s="889"/>
      <c r="G20" s="889"/>
      <c r="H20" s="1017"/>
      <c r="I20" s="1018"/>
      <c r="J20" s="1019"/>
      <c r="K20" s="889"/>
      <c r="L20" s="1020"/>
      <c r="M20" s="1018"/>
      <c r="N20" s="1018"/>
      <c r="O20" s="889"/>
      <c r="P20" s="1018"/>
      <c r="R20" s="1005"/>
      <c r="S20" s="1042"/>
      <c r="T20" s="1002"/>
      <c r="U20" s="819"/>
      <c r="V20" s="819"/>
    </row>
    <row r="21" spans="1:245" ht="16.399999999999999" customHeight="1">
      <c r="A21" s="105" t="s">
        <v>22</v>
      </c>
      <c r="B21" s="889"/>
      <c r="C21" s="889"/>
      <c r="D21" s="889"/>
      <c r="E21" s="889"/>
      <c r="F21" s="889"/>
      <c r="G21" s="889"/>
      <c r="H21" s="1020"/>
      <c r="I21" s="1018"/>
      <c r="J21" s="1019"/>
      <c r="K21" s="889"/>
      <c r="L21" s="1020"/>
      <c r="M21" s="1018"/>
      <c r="N21" s="1018"/>
      <c r="O21" s="889"/>
      <c r="P21" s="1018"/>
      <c r="R21" s="1005"/>
      <c r="S21" s="1042"/>
      <c r="T21" s="1002"/>
      <c r="U21" s="819"/>
      <c r="V21" s="819"/>
    </row>
    <row r="22" spans="1:245" ht="16.399999999999999" customHeight="1">
      <c r="A22" s="988" t="s">
        <v>35</v>
      </c>
      <c r="B22" s="889"/>
      <c r="C22" s="889"/>
      <c r="D22" s="889"/>
      <c r="E22" s="889"/>
      <c r="F22" s="889"/>
      <c r="G22" s="889"/>
      <c r="H22" s="1020"/>
      <c r="I22" s="1018"/>
      <c r="J22" s="1019"/>
      <c r="K22" s="889"/>
      <c r="L22" s="1020"/>
      <c r="M22" s="1018"/>
      <c r="N22" s="1018"/>
      <c r="O22" s="889"/>
      <c r="P22" s="1018"/>
      <c r="R22" s="1005"/>
      <c r="S22" s="1042"/>
      <c r="T22" s="1002"/>
      <c r="U22" s="819"/>
      <c r="V22" s="819"/>
    </row>
    <row r="23" spans="1:245" ht="16.399999999999999" customHeight="1">
      <c r="A23" s="988" t="s">
        <v>66</v>
      </c>
      <c r="B23" s="678">
        <f>+'Exhibit L'!B22</f>
        <v>5.9</v>
      </c>
      <c r="C23" s="889"/>
      <c r="D23" s="678">
        <f>+'Exhibit L'!AA22</f>
        <v>5.9</v>
      </c>
      <c r="E23" s="889"/>
      <c r="F23" s="1021">
        <f>+'Exhibit M'!B22</f>
        <v>0</v>
      </c>
      <c r="G23" s="889"/>
      <c r="H23" s="1022">
        <f>+'Exhibit M'!AA22</f>
        <v>0</v>
      </c>
      <c r="I23" s="1018"/>
      <c r="J23" s="1023">
        <f>SUM(B23)+SUM(F23)</f>
        <v>5.9</v>
      </c>
      <c r="K23" s="889"/>
      <c r="L23" s="1024">
        <f>SUM(D23)+SUM(H23)</f>
        <v>5.9</v>
      </c>
      <c r="M23" s="1018"/>
      <c r="N23" s="1025">
        <v>8.3000000000000007</v>
      </c>
      <c r="O23" s="889"/>
      <c r="P23" s="1025">
        <f>'Exhibit L'!AD22+'Exhibit M'!AD22</f>
        <v>8.3000000000000007</v>
      </c>
      <c r="R23" s="1005"/>
      <c r="S23" s="1042">
        <f>ROUND(SUM(L23-P23),1)</f>
        <v>-2.4</v>
      </c>
      <c r="T23" s="1002"/>
      <c r="U23" s="1377">
        <f>ROUND(IF(S23=0,0,S23/ABS(P23)),3)</f>
        <v>-0.28899999999999998</v>
      </c>
      <c r="V23" s="819"/>
    </row>
    <row r="24" spans="1:245" ht="16.399999999999999" customHeight="1">
      <c r="A24" s="988" t="s">
        <v>67</v>
      </c>
      <c r="B24" s="678">
        <f>+'Exhibit L'!B23</f>
        <v>0.6</v>
      </c>
      <c r="C24" s="889"/>
      <c r="D24" s="1025">
        <f>+'Exhibit L'!AA23</f>
        <v>0.6</v>
      </c>
      <c r="E24" s="889"/>
      <c r="F24" s="1021">
        <f>+'Exhibit M'!B23</f>
        <v>0</v>
      </c>
      <c r="G24" s="889"/>
      <c r="H24" s="1022">
        <f>+'Exhibit M'!AA23</f>
        <v>0</v>
      </c>
      <c r="I24" s="1018"/>
      <c r="J24" s="1023">
        <f>SUM(B24)+SUM(F24)</f>
        <v>0.6</v>
      </c>
      <c r="K24" s="889"/>
      <c r="L24" s="1024">
        <f>SUM(D24)+SUM(H24)</f>
        <v>0.6</v>
      </c>
      <c r="M24" s="1018"/>
      <c r="N24" s="1025">
        <v>0.7</v>
      </c>
      <c r="O24" s="1018"/>
      <c r="P24" s="1025">
        <f>'Exhibit L'!AD23+'Exhibit M'!AD23</f>
        <v>0.7</v>
      </c>
      <c r="R24" s="1005"/>
      <c r="S24" s="1042">
        <f>ROUND(SUM(L24-P24),1)</f>
        <v>-0.1</v>
      </c>
      <c r="T24" s="1002"/>
      <c r="U24" s="1377">
        <f>ROUND(IF(S24=0,0,S24/ABS(P24)),3)</f>
        <v>-0.14299999999999999</v>
      </c>
      <c r="V24" s="819"/>
    </row>
    <row r="25" spans="1:245" ht="16.399999999999999" customHeight="1">
      <c r="A25" s="988" t="s">
        <v>68</v>
      </c>
      <c r="B25" s="678">
        <f>+'Exhibit L'!B24</f>
        <v>1.8</v>
      </c>
      <c r="C25" s="889"/>
      <c r="D25" s="1026">
        <f>+'Exhibit L'!AA24</f>
        <v>1.8</v>
      </c>
      <c r="E25" s="889"/>
      <c r="F25" s="1021">
        <f>+'Exhibit M'!B24</f>
        <v>0</v>
      </c>
      <c r="G25" s="889"/>
      <c r="H25" s="1027">
        <f>+'Exhibit M'!AA24</f>
        <v>0</v>
      </c>
      <c r="I25" s="1018"/>
      <c r="J25" s="1023">
        <f>SUM(B25)+SUM(F25)</f>
        <v>1.8</v>
      </c>
      <c r="K25" s="889"/>
      <c r="L25" s="1028">
        <f>SUM(D25)+SUM(H25)</f>
        <v>1.8</v>
      </c>
      <c r="M25" s="1018"/>
      <c r="N25" s="1025">
        <v>3.6</v>
      </c>
      <c r="O25" s="3484"/>
      <c r="P25" s="1025">
        <f>'Exhibit L'!AD24+'Exhibit M'!AD24</f>
        <v>3.6</v>
      </c>
      <c r="R25" s="1005"/>
      <c r="S25" s="1042">
        <f>ROUND(SUM(L25-P25),1)</f>
        <v>-1.8</v>
      </c>
      <c r="T25" s="1002"/>
      <c r="U25" s="3663">
        <f>ROUND(IF(P25=0,1,S25/ABS(P25)),3)</f>
        <v>-0.5</v>
      </c>
      <c r="V25" s="819"/>
    </row>
    <row r="26" spans="1:245">
      <c r="A26" s="105" t="s">
        <v>56</v>
      </c>
      <c r="B26" s="111">
        <f>ROUND(SUM(B23:B25),1)</f>
        <v>8.3000000000000007</v>
      </c>
      <c r="C26" s="112"/>
      <c r="D26" s="111">
        <f>ROUND(SUM(D23:D25),1)</f>
        <v>8.3000000000000007</v>
      </c>
      <c r="E26" s="112"/>
      <c r="F26" s="111">
        <f>ROUND(SUM(F23:F25),1)</f>
        <v>0</v>
      </c>
      <c r="G26" s="112"/>
      <c r="H26" s="114">
        <f>ROUND(SUM(H23:H25),1)</f>
        <v>0</v>
      </c>
      <c r="I26" s="115"/>
      <c r="J26" s="116">
        <f>ROUND(SUM(J23:J25),1)</f>
        <v>8.3000000000000007</v>
      </c>
      <c r="K26" s="112"/>
      <c r="L26" s="114">
        <f>ROUND(SUM(L23:L25),1)</f>
        <v>8.3000000000000007</v>
      </c>
      <c r="M26" s="115"/>
      <c r="N26" s="111">
        <f>ROUND(SUM(N23:N25),1)</f>
        <v>12.6</v>
      </c>
      <c r="O26" s="112"/>
      <c r="P26" s="111">
        <f>ROUND(SUM(P23:P25),1)</f>
        <v>12.6</v>
      </c>
      <c r="Q26" s="736"/>
      <c r="R26" s="984"/>
      <c r="S26" s="1043">
        <f>ROUND(SUM(S23:S25),3)</f>
        <v>-4.3</v>
      </c>
      <c r="T26" s="645"/>
      <c r="U26" s="3667">
        <f>ROUND(S26/P26,3)</f>
        <v>-0.34100000000000003</v>
      </c>
      <c r="V26" s="819"/>
    </row>
    <row r="27" spans="1:245">
      <c r="A27" s="105"/>
      <c r="B27" s="889"/>
      <c r="C27" s="889"/>
      <c r="D27" s="889"/>
      <c r="E27" s="889"/>
      <c r="F27" s="889"/>
      <c r="G27" s="889"/>
      <c r="H27" s="1020"/>
      <c r="I27" s="1018"/>
      <c r="J27" s="1019"/>
      <c r="K27" s="889"/>
      <c r="L27" s="1020"/>
      <c r="M27" s="1018"/>
      <c r="N27" s="1018"/>
      <c r="O27" s="889"/>
      <c r="P27" s="1018"/>
      <c r="R27" s="1005"/>
      <c r="S27" s="1042"/>
      <c r="T27" s="1002"/>
      <c r="U27" s="819"/>
      <c r="V27" s="819"/>
    </row>
    <row r="28" spans="1:245" ht="16.399999999999999" customHeight="1">
      <c r="A28" s="105" t="s">
        <v>43</v>
      </c>
      <c r="B28" s="889"/>
      <c r="C28" s="889"/>
      <c r="D28" s="889"/>
      <c r="E28" s="889"/>
      <c r="F28" s="889"/>
      <c r="G28" s="889"/>
      <c r="H28" s="1020"/>
      <c r="I28" s="1018"/>
      <c r="J28" s="1019"/>
      <c r="K28" s="889"/>
      <c r="L28" s="1020"/>
      <c r="M28" s="1018"/>
      <c r="N28" s="1018"/>
      <c r="O28" s="889"/>
      <c r="P28" s="1018"/>
      <c r="R28" s="1005"/>
      <c r="S28" s="1042"/>
      <c r="T28" s="1002"/>
      <c r="U28" s="819"/>
      <c r="V28" s="819"/>
    </row>
    <row r="29" spans="1:245">
      <c r="A29" s="105" t="s">
        <v>70</v>
      </c>
      <c r="B29" s="120">
        <f>ROUND(SUM(B19-B26),1)</f>
        <v>-2.4</v>
      </c>
      <c r="C29" s="112"/>
      <c r="D29" s="120">
        <f>ROUND(SUM(D19-D26),1)</f>
        <v>-2.4</v>
      </c>
      <c r="E29" s="112"/>
      <c r="F29" s="120">
        <f>ROUND(SUM(F19-F26),1)</f>
        <v>0.1</v>
      </c>
      <c r="G29" s="112"/>
      <c r="H29" s="121">
        <f>ROUND(SUM(H19-H26),1)</f>
        <v>0.1</v>
      </c>
      <c r="I29" s="115"/>
      <c r="J29" s="122">
        <f>ROUND(SUM(J19-J26),1)</f>
        <v>-2.2999999999999998</v>
      </c>
      <c r="K29" s="115"/>
      <c r="L29" s="121">
        <f>ROUND(SUM(L19-L26),1)</f>
        <v>-2.2999999999999998</v>
      </c>
      <c r="M29" s="115"/>
      <c r="N29" s="120">
        <f>ROUND(SUM(N19-N26),1)</f>
        <v>-4.0999999999999996</v>
      </c>
      <c r="O29" s="115"/>
      <c r="P29" s="120">
        <f>ROUND(SUM(P19-P26),1)</f>
        <v>-4.0999999999999996</v>
      </c>
      <c r="Q29" s="736"/>
      <c r="R29" s="1005"/>
      <c r="S29" s="1552">
        <f>ROUND(SUM(L29-P29),1)</f>
        <v>1.8</v>
      </c>
      <c r="T29" s="1002"/>
      <c r="U29" s="2116">
        <f>ROUND(IF(P29=0,1,S29/ABS(P29)),3)</f>
        <v>0.439</v>
      </c>
      <c r="V29" s="819"/>
    </row>
    <row r="30" spans="1:245">
      <c r="A30" s="988"/>
      <c r="B30" s="889"/>
      <c r="C30" s="889"/>
      <c r="D30" s="889"/>
      <c r="E30" s="889"/>
      <c r="F30" s="889"/>
      <c r="G30" s="889"/>
      <c r="H30" s="1020"/>
      <c r="I30" s="1018"/>
      <c r="J30" s="1019"/>
      <c r="K30" s="889"/>
      <c r="L30" s="1020"/>
      <c r="M30" s="1018"/>
      <c r="N30" s="1018"/>
      <c r="O30" s="889"/>
      <c r="P30" s="1018"/>
      <c r="R30" s="1005"/>
      <c r="S30" s="1042"/>
      <c r="T30" s="1002"/>
      <c r="U30" s="819"/>
      <c r="V30" s="819"/>
    </row>
    <row r="31" spans="1:245" ht="16.399999999999999" customHeight="1">
      <c r="A31" s="105" t="s">
        <v>45</v>
      </c>
      <c r="B31" s="889"/>
      <c r="C31" s="889"/>
      <c r="D31" s="889"/>
      <c r="E31" s="889"/>
      <c r="F31" s="889"/>
      <c r="G31" s="889"/>
      <c r="H31" s="1020"/>
      <c r="I31" s="1018"/>
      <c r="J31" s="1019"/>
      <c r="K31" s="889"/>
      <c r="L31" s="1020"/>
      <c r="M31" s="1018"/>
      <c r="N31" s="1018"/>
      <c r="O31" s="889"/>
      <c r="P31" s="1018"/>
      <c r="R31" s="1005"/>
      <c r="S31" s="1042"/>
      <c r="T31" s="1002"/>
      <c r="U31" s="819"/>
      <c r="V31" s="819"/>
    </row>
    <row r="32" spans="1:245" ht="16.399999999999999" customHeight="1">
      <c r="A32" s="988" t="s">
        <v>46</v>
      </c>
      <c r="B32" s="1021">
        <f>+'Exhibit L'!B31</f>
        <v>0</v>
      </c>
      <c r="C32" s="889"/>
      <c r="D32" s="1021">
        <f>+'Exhibit L'!AA31</f>
        <v>0</v>
      </c>
      <c r="E32" s="889"/>
      <c r="F32" s="1021">
        <f>+'Exhibit M'!B31</f>
        <v>0</v>
      </c>
      <c r="G32" s="678"/>
      <c r="H32" s="1029">
        <f>+'Exhibit M'!AA31</f>
        <v>0</v>
      </c>
      <c r="I32" s="1018"/>
      <c r="J32" s="1030">
        <f>SUM(B32)+SUM(F32)</f>
        <v>0</v>
      </c>
      <c r="K32" s="889"/>
      <c r="L32" s="1022">
        <f>SUM(D32)+SUM(H32)</f>
        <v>0</v>
      </c>
      <c r="M32" s="1018"/>
      <c r="N32" s="1025">
        <v>0</v>
      </c>
      <c r="O32" s="1018"/>
      <c r="P32" s="1026">
        <f>'Exhibit L'!AD31+'Exhibit M'!AD31</f>
        <v>0</v>
      </c>
      <c r="R32" s="1031"/>
      <c r="S32" s="1042">
        <f>ROUND(SUM(L32-P32),1)</f>
        <v>0</v>
      </c>
      <c r="T32" s="663"/>
      <c r="U32" s="1377">
        <f>ROUND(IF(S32=0,0,S32/ABS(P32)),3)</f>
        <v>0</v>
      </c>
      <c r="V32" s="819"/>
    </row>
    <row r="33" spans="1:245" ht="16.399999999999999" customHeight="1">
      <c r="A33" s="988" t="s">
        <v>71</v>
      </c>
      <c r="B33" s="1021">
        <f>+'Exhibit L'!B32</f>
        <v>0</v>
      </c>
      <c r="C33" s="889"/>
      <c r="D33" s="1032">
        <f>+'Exhibit L'!AA32</f>
        <v>0</v>
      </c>
      <c r="E33" s="889"/>
      <c r="F33" s="1021">
        <f>+'Exhibit M'!B32</f>
        <v>0</v>
      </c>
      <c r="G33" s="889"/>
      <c r="H33" s="1029">
        <f>+'Exhibit M'!AA32</f>
        <v>0</v>
      </c>
      <c r="I33" s="1018"/>
      <c r="J33" s="1030">
        <f>SUM(B33)+SUM(F33)</f>
        <v>0</v>
      </c>
      <c r="K33" s="889"/>
      <c r="L33" s="1033">
        <f>SUM(D33)+SUM(H33)</f>
        <v>0</v>
      </c>
      <c r="M33" s="1018"/>
      <c r="N33" s="1025">
        <v>0</v>
      </c>
      <c r="O33" s="3484"/>
      <c r="P33" s="1026">
        <f>'Exhibit L'!AD32+'Exhibit M'!AD32</f>
        <v>0</v>
      </c>
      <c r="R33" s="1034"/>
      <c r="S33" s="1042">
        <f>ROUND(SUM(L33-P33),1)</f>
        <v>0</v>
      </c>
      <c r="T33" s="663"/>
      <c r="U33" s="1377">
        <f>ROUND(IF(S33=0,0,S33/ABS(P33)),3)</f>
        <v>0</v>
      </c>
      <c r="V33" s="819"/>
    </row>
    <row r="34" spans="1:245">
      <c r="A34" s="105" t="s">
        <v>48</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35"/>
      <c r="S34" s="3303">
        <f>ROUND(SUM(S32-S33),3)</f>
        <v>0</v>
      </c>
      <c r="T34" s="1395"/>
      <c r="U34" s="1073">
        <f>ROUND(IF(P34=0,0,S34/ABS(P34)),3)</f>
        <v>0</v>
      </c>
      <c r="V34" s="819"/>
    </row>
    <row r="35" spans="1:245">
      <c r="A35" s="105"/>
      <c r="B35" s="1036"/>
      <c r="C35" s="889"/>
      <c r="D35" s="1036"/>
      <c r="E35" s="889"/>
      <c r="F35" s="1018"/>
      <c r="G35" s="889"/>
      <c r="H35" s="1020"/>
      <c r="I35" s="1018"/>
      <c r="J35" s="1019"/>
      <c r="K35" s="889"/>
      <c r="L35" s="1037"/>
      <c r="M35" s="1018"/>
      <c r="N35" s="1018"/>
      <c r="O35" s="889"/>
      <c r="P35" s="1018"/>
      <c r="R35" s="1005"/>
      <c r="S35" s="1042"/>
      <c r="T35" s="1002"/>
      <c r="U35" s="819"/>
      <c r="V35" s="819"/>
    </row>
    <row r="36" spans="1:245" ht="15.75" customHeight="1">
      <c r="A36" s="105" t="s">
        <v>43</v>
      </c>
      <c r="B36" s="889"/>
      <c r="C36" s="889"/>
      <c r="D36" s="889"/>
      <c r="E36" s="889"/>
      <c r="F36" s="889"/>
      <c r="G36" s="889"/>
      <c r="H36" s="1020"/>
      <c r="I36" s="1018"/>
      <c r="J36" s="1019"/>
      <c r="K36" s="889"/>
      <c r="L36" s="1020"/>
      <c r="M36" s="1018"/>
      <c r="N36" s="1018"/>
      <c r="O36" s="889"/>
      <c r="P36" s="1018"/>
      <c r="R36" s="1005"/>
      <c r="S36" s="1042"/>
      <c r="T36" s="1002"/>
      <c r="U36" s="819"/>
      <c r="V36" s="819"/>
    </row>
    <row r="37" spans="1:245" ht="15.75" customHeight="1">
      <c r="A37" s="105" t="s">
        <v>72</v>
      </c>
      <c r="B37" s="889"/>
      <c r="C37" s="889"/>
      <c r="D37" s="889"/>
      <c r="E37" s="889"/>
      <c r="F37" s="889"/>
      <c r="G37" s="889"/>
      <c r="H37" s="1020"/>
      <c r="I37" s="1018"/>
      <c r="J37" s="1019"/>
      <c r="K37" s="889"/>
      <c r="L37" s="1020"/>
      <c r="M37" s="1018"/>
      <c r="N37" s="1018"/>
      <c r="O37" s="889"/>
      <c r="P37" s="1018"/>
      <c r="R37" s="1005"/>
      <c r="S37" s="1042"/>
      <c r="T37" s="1002"/>
      <c r="U37" s="819"/>
      <c r="V37" s="819"/>
    </row>
    <row r="38" spans="1:245" ht="15.75" customHeight="1">
      <c r="A38" s="105" t="s">
        <v>73</v>
      </c>
      <c r="B38" s="889"/>
      <c r="C38" s="889"/>
      <c r="D38" s="889"/>
      <c r="E38" s="889"/>
      <c r="F38" s="1038"/>
      <c r="G38" s="889"/>
      <c r="H38" s="1020"/>
      <c r="I38" s="1018"/>
      <c r="J38" s="1019"/>
      <c r="K38" s="889"/>
      <c r="L38" s="1020"/>
      <c r="M38" s="1018"/>
      <c r="N38" s="1018"/>
      <c r="O38" s="889"/>
      <c r="P38" s="1018"/>
      <c r="R38" s="1005"/>
      <c r="S38" s="1042"/>
      <c r="T38" s="1002"/>
      <c r="U38" s="819"/>
      <c r="V38" s="819"/>
    </row>
    <row r="39" spans="1:245" ht="15.75" customHeight="1">
      <c r="A39" s="105" t="s">
        <v>74</v>
      </c>
      <c r="B39" s="128">
        <f>ROUND(SUM(B29+B34),1)</f>
        <v>-2.4</v>
      </c>
      <c r="C39" s="112"/>
      <c r="D39" s="128">
        <f>ROUND(SUM(D29+D34),1)</f>
        <v>-2.4</v>
      </c>
      <c r="E39" s="112"/>
      <c r="F39" s="128">
        <f>ROUND(SUM(F29+F34),1)</f>
        <v>0.1</v>
      </c>
      <c r="G39" s="112"/>
      <c r="H39" s="129">
        <f>ROUND(SUM(H29+H34),1)</f>
        <v>0.1</v>
      </c>
      <c r="I39" s="115"/>
      <c r="J39" s="130">
        <f>ROUND(SUM(J29+J34),1)</f>
        <v>-2.2999999999999998</v>
      </c>
      <c r="K39" s="112"/>
      <c r="L39" s="129">
        <f>ROUND(SUM(L29+L34),1)</f>
        <v>-2.2999999999999998</v>
      </c>
      <c r="M39" s="115"/>
      <c r="N39" s="128">
        <f>ROUND(SUM(N29+N34),1)</f>
        <v>-4.0999999999999996</v>
      </c>
      <c r="O39" s="115"/>
      <c r="P39" s="128">
        <f>ROUND(SUM(P29+P34),1)</f>
        <v>-4.0999999999999996</v>
      </c>
      <c r="Q39" s="736"/>
      <c r="R39" s="1005"/>
      <c r="S39" s="1455">
        <f>ROUND(SUM(L39-P39),1)</f>
        <v>1.8</v>
      </c>
      <c r="T39" s="1002"/>
      <c r="U39" s="2117">
        <f>ROUND(IF(P39=0,1,S39/ABS(P39)),3)</f>
        <v>0.439</v>
      </c>
      <c r="V39" s="819"/>
    </row>
    <row r="40" spans="1:245">
      <c r="A40" s="105"/>
      <c r="B40" s="889"/>
      <c r="C40" s="889"/>
      <c r="D40" s="889"/>
      <c r="E40" s="889"/>
      <c r="F40" s="889"/>
      <c r="G40" s="889"/>
      <c r="H40" s="1020"/>
      <c r="I40" s="1018"/>
      <c r="J40" s="1019"/>
      <c r="K40" s="889"/>
      <c r="L40" s="1020"/>
      <c r="M40" s="1018"/>
      <c r="N40" s="1018"/>
      <c r="O40" s="889"/>
      <c r="P40" s="1018"/>
      <c r="R40" s="1005"/>
      <c r="T40" s="1387"/>
      <c r="U40" s="914"/>
      <c r="V40" s="819"/>
    </row>
    <row r="41" spans="1:245" s="736" customFormat="1">
      <c r="A41" s="105" t="s">
        <v>51</v>
      </c>
      <c r="B41" s="131">
        <f>+'Exhibit L'!B13</f>
        <v>0</v>
      </c>
      <c r="C41" s="112"/>
      <c r="D41" s="131">
        <f>+'Exhibit L'!AA13</f>
        <v>0</v>
      </c>
      <c r="E41" s="112"/>
      <c r="F41" s="131">
        <f>+'Exhibit M'!B13</f>
        <v>40.200000000000003</v>
      </c>
      <c r="G41" s="112"/>
      <c r="H41" s="132">
        <f>+'Exhibit M'!AA13</f>
        <v>40.200000000000003</v>
      </c>
      <c r="I41" s="115"/>
      <c r="J41" s="133">
        <f>ROUND(SUM(B41)+SUM(F41),1)</f>
        <v>40.200000000000003</v>
      </c>
      <c r="K41" s="112"/>
      <c r="L41" s="129">
        <f>ROUND(SUM(D41+H41),1)</f>
        <v>40.200000000000003</v>
      </c>
      <c r="M41" s="115"/>
      <c r="N41" s="120">
        <v>13.200000000000006</v>
      </c>
      <c r="O41" s="112"/>
      <c r="P41" s="120">
        <f>'Exhibit L'!AD13+'Exhibit M'!AD13</f>
        <v>13.199999999999998</v>
      </c>
      <c r="R41" s="985"/>
      <c r="S41" s="1609">
        <f>ROUND(SUM(+L41-P41),1)</f>
        <v>27</v>
      </c>
      <c r="T41" s="91"/>
      <c r="U41" s="1378">
        <f>ROUND(IF(S41=0,0,S41/ABS(P41)),3)</f>
        <v>2.0449999999999999</v>
      </c>
      <c r="V41" s="1039"/>
    </row>
    <row r="42" spans="1:245" ht="16" thickBot="1">
      <c r="A42" s="105" t="s">
        <v>76</v>
      </c>
      <c r="B42" s="134">
        <f>ROUND(SUM(B41)+SUM(B39),1)</f>
        <v>-2.4</v>
      </c>
      <c r="C42" s="135"/>
      <c r="D42" s="134">
        <f>ROUND(SUM(D41)+SUM(D39),1)</f>
        <v>-2.4</v>
      </c>
      <c r="E42" s="135"/>
      <c r="F42" s="136">
        <f>ROUND(SUM(F41)+SUM(F39),1)</f>
        <v>40.299999999999997</v>
      </c>
      <c r="G42" s="137"/>
      <c r="H42" s="795">
        <f>ROUND(SUM(H41)+SUM(H39),1)</f>
        <v>40.299999999999997</v>
      </c>
      <c r="I42" s="796"/>
      <c r="J42" s="795">
        <f>ROUND(SUM(J41)+SUM(J39),1)</f>
        <v>37.9</v>
      </c>
      <c r="K42" s="139"/>
      <c r="L42" s="138">
        <f>ROUND(SUM(L41)+SUM(L39),1)</f>
        <v>37.9</v>
      </c>
      <c r="M42" s="139"/>
      <c r="N42" s="795">
        <f>ROUND(SUM(N41)+SUM(N39),1)</f>
        <v>9.1</v>
      </c>
      <c r="O42" s="139"/>
      <c r="P42" s="795">
        <f>ROUND(SUM(P41)+SUM(P39),1)</f>
        <v>9.1</v>
      </c>
      <c r="Q42" s="263"/>
      <c r="R42" s="1012"/>
      <c r="S42" s="3304">
        <f>ROUND(SUM(S39+S41),3)</f>
        <v>28.8</v>
      </c>
      <c r="T42" s="1190"/>
      <c r="U42" s="3529">
        <f>ROUND(S42/P42,3)</f>
        <v>3.165</v>
      </c>
      <c r="V42" s="819"/>
    </row>
    <row r="43" spans="1:245" ht="16" thickTop="1">
      <c r="A43" s="988"/>
      <c r="B43" s="1040"/>
      <c r="C43" s="1011"/>
      <c r="D43" s="1040"/>
      <c r="E43" s="1011"/>
      <c r="F43" s="1040"/>
      <c r="G43" s="1011"/>
      <c r="H43" s="1040"/>
      <c r="I43" s="1013"/>
      <c r="J43" s="1040"/>
      <c r="K43" s="1011"/>
      <c r="L43" s="1040"/>
      <c r="M43" s="1011"/>
      <c r="N43" s="1040"/>
      <c r="O43" s="1011"/>
      <c r="P43" s="1040"/>
      <c r="Q43" s="1011"/>
      <c r="R43" s="1041"/>
      <c r="S43" s="1014"/>
      <c r="T43" s="1041"/>
      <c r="U43" s="1014"/>
      <c r="V43" s="1014"/>
      <c r="W43" s="1015"/>
      <c r="X43" s="1015"/>
      <c r="Y43" s="1015"/>
      <c r="Z43" s="1015"/>
      <c r="AA43" s="1015"/>
      <c r="AB43" s="1015"/>
      <c r="AC43" s="1015"/>
      <c r="AD43" s="1015"/>
      <c r="AE43" s="1015"/>
      <c r="AF43" s="1015"/>
      <c r="AG43" s="1015"/>
      <c r="AH43" s="1015"/>
      <c r="AI43" s="1015"/>
      <c r="AJ43" s="1015"/>
      <c r="AK43" s="1015"/>
      <c r="AL43" s="1015"/>
      <c r="AM43" s="1015"/>
      <c r="AN43" s="1015"/>
      <c r="AO43" s="1015"/>
      <c r="AP43" s="1015"/>
      <c r="AQ43" s="1015"/>
      <c r="AR43" s="1015"/>
      <c r="AS43" s="1015"/>
      <c r="AT43" s="1015"/>
      <c r="AU43" s="1015"/>
      <c r="AV43" s="1015"/>
      <c r="AW43" s="1015"/>
      <c r="AX43" s="1015"/>
      <c r="AY43" s="1015"/>
      <c r="AZ43" s="1015"/>
      <c r="BA43" s="1015"/>
      <c r="BB43" s="1015"/>
      <c r="BC43" s="1015"/>
      <c r="BD43" s="1015"/>
      <c r="BE43" s="1015"/>
      <c r="BF43" s="1015"/>
      <c r="BG43" s="1015"/>
      <c r="BH43" s="1015"/>
      <c r="BI43" s="1015"/>
      <c r="BJ43" s="1015"/>
      <c r="BK43" s="1015"/>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5"/>
      <c r="DI43" s="1015"/>
      <c r="DJ43" s="1015"/>
      <c r="DK43" s="1015"/>
      <c r="DL43" s="1015"/>
      <c r="DM43" s="1015"/>
      <c r="DN43" s="1015"/>
      <c r="DO43" s="1015"/>
      <c r="DP43" s="1015"/>
      <c r="DQ43" s="1015"/>
      <c r="DR43" s="1015"/>
      <c r="DS43" s="1015"/>
      <c r="DT43" s="1015"/>
      <c r="DU43" s="1015"/>
      <c r="DV43" s="1015"/>
      <c r="DW43" s="1015"/>
      <c r="DX43" s="1015"/>
      <c r="DY43" s="1015"/>
      <c r="DZ43" s="1015"/>
      <c r="EA43" s="1015"/>
      <c r="EB43" s="1015"/>
      <c r="EC43" s="1015"/>
      <c r="ED43" s="1015"/>
      <c r="EE43" s="1015"/>
      <c r="EF43" s="1015"/>
      <c r="EG43" s="1015"/>
      <c r="EH43" s="1015"/>
      <c r="EI43" s="1015"/>
      <c r="EJ43" s="1015"/>
      <c r="EK43" s="1015"/>
      <c r="EL43" s="1015"/>
      <c r="EM43" s="1015"/>
      <c r="EN43" s="1015"/>
      <c r="EO43" s="1015"/>
      <c r="EP43" s="1015"/>
      <c r="EQ43" s="1015"/>
      <c r="ER43" s="1015"/>
      <c r="ES43" s="1015"/>
      <c r="ET43" s="1015"/>
      <c r="EU43" s="1015"/>
      <c r="EV43" s="1015"/>
      <c r="EW43" s="1015"/>
      <c r="EX43" s="1015"/>
      <c r="EY43" s="1015"/>
      <c r="EZ43" s="1015"/>
      <c r="FA43" s="1015"/>
      <c r="FB43" s="1015"/>
      <c r="FC43" s="1015"/>
      <c r="FD43" s="1015"/>
      <c r="FE43" s="1015"/>
      <c r="FF43" s="1015"/>
      <c r="FG43" s="1015"/>
      <c r="FH43" s="1015"/>
      <c r="FI43" s="1015"/>
      <c r="FJ43" s="1015"/>
      <c r="FK43" s="1015"/>
      <c r="FL43" s="1015"/>
      <c r="FM43" s="1015"/>
      <c r="FN43" s="1015"/>
      <c r="FO43" s="1015"/>
      <c r="FP43" s="1015"/>
      <c r="FQ43" s="1015"/>
      <c r="FR43" s="1015"/>
      <c r="FS43" s="1015"/>
      <c r="FT43" s="1015"/>
      <c r="FU43" s="1015"/>
      <c r="FV43" s="1015"/>
      <c r="FW43" s="1015"/>
      <c r="FX43" s="1015"/>
      <c r="FY43" s="1015"/>
      <c r="FZ43" s="1015"/>
      <c r="GA43" s="1015"/>
      <c r="GB43" s="1015"/>
      <c r="GC43" s="1015"/>
      <c r="GD43" s="1015"/>
      <c r="GE43" s="1015"/>
      <c r="GF43" s="1015"/>
      <c r="GG43" s="1015"/>
      <c r="GH43" s="1015"/>
      <c r="GI43" s="1015"/>
      <c r="GJ43" s="1015"/>
      <c r="GK43" s="1015"/>
      <c r="GL43" s="1015"/>
      <c r="GM43" s="1015"/>
      <c r="GN43" s="1015"/>
      <c r="GO43" s="1015"/>
      <c r="GP43" s="1015"/>
      <c r="GQ43" s="1015"/>
      <c r="GR43" s="1015"/>
      <c r="GS43" s="1015"/>
      <c r="GT43" s="1015"/>
      <c r="GU43" s="1015"/>
      <c r="GV43" s="1015"/>
      <c r="GW43" s="1015"/>
      <c r="GX43" s="1015"/>
      <c r="GY43" s="1015"/>
      <c r="GZ43" s="1015"/>
      <c r="HA43" s="1015"/>
      <c r="HB43" s="1015"/>
      <c r="HC43" s="1015"/>
      <c r="HD43" s="1015"/>
      <c r="HE43" s="1015"/>
      <c r="HF43" s="1015"/>
      <c r="HG43" s="1015"/>
      <c r="HH43" s="1015"/>
      <c r="HI43" s="1015"/>
      <c r="HJ43" s="1015"/>
      <c r="HK43" s="1015"/>
      <c r="HL43" s="1015"/>
      <c r="HM43" s="1015"/>
      <c r="HN43" s="1015"/>
      <c r="HO43" s="1015"/>
      <c r="HP43" s="1015"/>
      <c r="HQ43" s="1015"/>
      <c r="HR43" s="1015"/>
      <c r="HS43" s="1015"/>
      <c r="HT43" s="1015"/>
      <c r="HU43" s="1015"/>
      <c r="HV43" s="1015"/>
      <c r="HW43" s="1015"/>
      <c r="HX43" s="1015"/>
      <c r="HY43" s="1015"/>
      <c r="HZ43" s="1015"/>
      <c r="IA43" s="1015"/>
      <c r="IB43" s="1015"/>
      <c r="IC43" s="1015"/>
      <c r="ID43" s="1015"/>
      <c r="IE43" s="1015"/>
      <c r="IF43" s="1015"/>
      <c r="IG43" s="1015"/>
      <c r="IH43" s="1015"/>
      <c r="II43" s="1015"/>
      <c r="IJ43" s="1015"/>
      <c r="IK43" s="1015"/>
    </row>
    <row r="44" spans="1:245">
      <c r="A44" s="988"/>
      <c r="B44" s="988"/>
      <c r="C44" s="988"/>
      <c r="D44" s="988"/>
      <c r="E44" s="988"/>
      <c r="F44" s="987"/>
      <c r="G44" s="988"/>
      <c r="H44" s="988"/>
      <c r="I44" s="988"/>
      <c r="J44" s="988"/>
      <c r="K44" s="988"/>
      <c r="L44" s="988"/>
      <c r="M44" s="988"/>
      <c r="N44" s="988"/>
      <c r="O44" s="988"/>
      <c r="P44" s="988"/>
      <c r="Q44" s="988"/>
      <c r="R44" s="989"/>
      <c r="S44" s="1345"/>
      <c r="T44" s="989"/>
      <c r="U44" s="819"/>
      <c r="V44" s="819"/>
    </row>
    <row r="45" spans="1:245">
      <c r="A45" s="988"/>
      <c r="B45" s="988"/>
      <c r="C45" s="988"/>
      <c r="D45" s="988"/>
      <c r="E45" s="988"/>
      <c r="F45" s="987" t="s">
        <v>14</v>
      </c>
      <c r="G45" s="988"/>
      <c r="H45" s="988"/>
      <c r="I45" s="988"/>
      <c r="J45" s="988"/>
      <c r="K45" s="988"/>
      <c r="L45" s="988"/>
      <c r="N45" s="988"/>
      <c r="O45" s="988"/>
      <c r="P45" s="988"/>
      <c r="Q45" s="988"/>
      <c r="R45" s="989"/>
      <c r="S45" s="819"/>
      <c r="T45" s="989"/>
      <c r="U45" s="819"/>
      <c r="V45" s="819"/>
    </row>
    <row r="46" spans="1:245">
      <c r="A46" s="885"/>
      <c r="B46" s="988"/>
      <c r="C46" s="988"/>
      <c r="D46" s="988"/>
      <c r="E46" s="988"/>
      <c r="F46" s="988"/>
      <c r="G46" s="988"/>
      <c r="H46" s="988"/>
      <c r="I46" s="988"/>
      <c r="J46" s="988"/>
      <c r="K46" s="988"/>
      <c r="L46" s="988"/>
      <c r="M46" s="988"/>
      <c r="N46" s="988"/>
      <c r="O46" s="988"/>
      <c r="P46" s="988"/>
      <c r="Q46" s="988"/>
      <c r="R46" s="989"/>
      <c r="S46" s="819"/>
      <c r="T46" s="989"/>
      <c r="U46" s="819"/>
      <c r="V46" s="819"/>
    </row>
    <row r="47" spans="1:245">
      <c r="A47" s="988"/>
      <c r="B47" s="988"/>
      <c r="C47" s="988"/>
      <c r="D47" s="988"/>
      <c r="E47" s="988"/>
      <c r="F47" s="988"/>
      <c r="G47" s="988"/>
      <c r="H47" s="988"/>
      <c r="I47" s="988"/>
      <c r="J47" s="988"/>
      <c r="K47" s="988"/>
      <c r="L47" s="988"/>
      <c r="M47" s="988"/>
      <c r="N47" s="988"/>
      <c r="O47" s="988"/>
      <c r="P47" s="988"/>
      <c r="Q47" s="988"/>
      <c r="R47" s="989"/>
      <c r="S47" s="819"/>
      <c r="T47" s="989"/>
      <c r="U47" s="819"/>
      <c r="V47" s="819"/>
    </row>
    <row r="48" spans="1:245">
      <c r="A48" s="988"/>
      <c r="B48" s="988"/>
      <c r="C48" s="988"/>
      <c r="D48" s="988"/>
      <c r="E48" s="988"/>
      <c r="F48" s="988"/>
      <c r="G48" s="988"/>
      <c r="H48" s="988"/>
      <c r="I48" s="988"/>
      <c r="J48" s="988"/>
      <c r="K48" s="988"/>
      <c r="L48" s="988"/>
      <c r="M48" s="988"/>
      <c r="N48" s="988"/>
      <c r="O48" s="988"/>
      <c r="P48" s="988"/>
      <c r="Q48" s="988"/>
      <c r="R48" s="989"/>
      <c r="S48" s="819"/>
      <c r="T48" s="989"/>
      <c r="U48" s="819"/>
      <c r="V48" s="819"/>
    </row>
    <row r="49" spans="1:22">
      <c r="A49" s="988"/>
      <c r="B49" s="988"/>
      <c r="C49" s="988"/>
      <c r="D49" s="988"/>
      <c r="E49" s="988"/>
      <c r="F49" s="988"/>
      <c r="G49" s="988"/>
      <c r="H49" s="988"/>
      <c r="I49" s="988"/>
      <c r="J49" s="988"/>
      <c r="K49" s="988"/>
      <c r="L49" s="988"/>
      <c r="M49" s="988"/>
      <c r="N49" s="988"/>
      <c r="O49" s="988"/>
      <c r="P49" s="988"/>
      <c r="Q49" s="988"/>
      <c r="R49" s="989"/>
      <c r="S49" s="819"/>
      <c r="T49" s="989"/>
      <c r="U49" s="819"/>
      <c r="V49" s="819"/>
    </row>
    <row r="50" spans="1:22">
      <c r="A50" s="988"/>
      <c r="B50" s="988"/>
      <c r="C50" s="988"/>
      <c r="D50" s="988"/>
      <c r="E50" s="988"/>
      <c r="F50" s="988"/>
      <c r="G50" s="988"/>
      <c r="H50" s="988"/>
      <c r="I50" s="988"/>
      <c r="J50" s="988"/>
      <c r="K50" s="988"/>
      <c r="L50" s="988"/>
      <c r="M50" s="988"/>
      <c r="N50" s="988"/>
      <c r="O50" s="988"/>
      <c r="P50" s="988"/>
      <c r="Q50" s="988"/>
      <c r="R50" s="989"/>
      <c r="S50" s="819"/>
      <c r="T50" s="989"/>
      <c r="U50" s="819"/>
      <c r="V50" s="819"/>
    </row>
    <row r="51" spans="1:22">
      <c r="A51" s="988"/>
      <c r="B51" s="988"/>
      <c r="C51" s="988"/>
      <c r="D51" s="988"/>
      <c r="E51" s="988"/>
      <c r="F51" s="988"/>
      <c r="G51" s="988"/>
      <c r="H51" s="988"/>
      <c r="I51" s="988"/>
      <c r="J51" s="988"/>
      <c r="K51" s="988"/>
      <c r="L51" s="988"/>
      <c r="M51" s="988"/>
      <c r="N51" s="988"/>
      <c r="O51" s="988"/>
      <c r="P51" s="988"/>
      <c r="Q51" s="988"/>
      <c r="R51" s="989"/>
      <c r="S51" s="819"/>
      <c r="T51" s="989"/>
      <c r="U51" s="819"/>
      <c r="V51" s="819"/>
    </row>
    <row r="52" spans="1:22">
      <c r="A52" s="988"/>
      <c r="B52" s="988"/>
      <c r="C52" s="988"/>
      <c r="D52" s="988"/>
      <c r="E52" s="988"/>
      <c r="F52" s="988"/>
      <c r="G52" s="988"/>
      <c r="H52" s="988"/>
      <c r="I52" s="988"/>
      <c r="J52" s="988"/>
      <c r="K52" s="988"/>
      <c r="L52" s="988"/>
      <c r="M52" s="988"/>
      <c r="N52" s="988"/>
      <c r="O52" s="988"/>
      <c r="P52" s="988"/>
      <c r="Q52" s="988"/>
      <c r="R52" s="989"/>
      <c r="S52" s="819"/>
      <c r="T52" s="989"/>
      <c r="U52" s="819"/>
      <c r="V52" s="819"/>
    </row>
    <row r="53" spans="1:22">
      <c r="A53" s="988"/>
      <c r="B53" s="988"/>
      <c r="C53" s="988"/>
      <c r="D53" s="988"/>
      <c r="E53" s="988"/>
      <c r="F53" s="988"/>
      <c r="G53" s="988"/>
      <c r="H53" s="988"/>
      <c r="I53" s="988"/>
      <c r="J53" s="988"/>
      <c r="K53" s="988"/>
      <c r="L53" s="988"/>
      <c r="M53" s="988"/>
      <c r="N53" s="988"/>
      <c r="O53" s="988"/>
      <c r="P53" s="988"/>
      <c r="Q53" s="988"/>
      <c r="R53" s="989"/>
      <c r="S53" s="819"/>
      <c r="T53" s="989"/>
      <c r="U53" s="819"/>
      <c r="V53" s="819"/>
    </row>
    <row r="54" spans="1:22">
      <c r="A54" s="988"/>
      <c r="B54" s="988"/>
      <c r="C54" s="988"/>
      <c r="D54" s="988"/>
      <c r="E54" s="988"/>
      <c r="F54" s="988"/>
      <c r="G54" s="988"/>
      <c r="H54" s="988"/>
      <c r="I54" s="988"/>
      <c r="J54" s="988"/>
      <c r="K54" s="988"/>
      <c r="L54" s="988"/>
      <c r="M54" s="988"/>
      <c r="N54" s="988"/>
      <c r="O54" s="988"/>
      <c r="P54" s="988"/>
      <c r="Q54" s="988"/>
      <c r="R54" s="989"/>
      <c r="S54" s="819"/>
      <c r="T54" s="989"/>
      <c r="U54" s="819"/>
      <c r="V54" s="819"/>
    </row>
    <row r="55" spans="1:22">
      <c r="A55" s="988"/>
      <c r="B55" s="988"/>
      <c r="C55" s="988"/>
      <c r="D55" s="988"/>
      <c r="E55" s="988"/>
      <c r="F55" s="988"/>
      <c r="G55" s="988"/>
      <c r="H55" s="988"/>
      <c r="I55" s="988"/>
      <c r="J55" s="988"/>
      <c r="K55" s="988"/>
      <c r="L55" s="988"/>
      <c r="M55" s="988"/>
      <c r="N55" s="988"/>
      <c r="O55" s="988"/>
      <c r="P55" s="988"/>
      <c r="Q55" s="988"/>
      <c r="R55" s="989"/>
      <c r="S55" s="819"/>
      <c r="T55" s="989"/>
      <c r="U55" s="819"/>
      <c r="V55" s="819"/>
    </row>
    <row r="56" spans="1:22">
      <c r="A56" s="988"/>
      <c r="B56" s="988"/>
      <c r="C56" s="988"/>
      <c r="D56" s="988"/>
      <c r="E56" s="988"/>
      <c r="F56" s="988"/>
      <c r="G56" s="988"/>
      <c r="H56" s="988"/>
      <c r="I56" s="988"/>
      <c r="J56" s="988"/>
      <c r="K56" s="988"/>
      <c r="L56" s="988"/>
      <c r="M56" s="988"/>
      <c r="N56" s="988"/>
      <c r="O56" s="988"/>
      <c r="P56" s="988"/>
      <c r="Q56" s="988"/>
      <c r="R56" s="990"/>
      <c r="S56" s="988"/>
    </row>
    <row r="57" spans="1:22">
      <c r="A57" s="988"/>
      <c r="B57" s="988"/>
      <c r="C57" s="988"/>
      <c r="D57" s="988"/>
      <c r="E57" s="988"/>
      <c r="F57" s="988"/>
      <c r="G57" s="988"/>
      <c r="H57" s="988"/>
      <c r="I57" s="988"/>
      <c r="J57" s="988"/>
      <c r="K57" s="988"/>
      <c r="L57" s="988"/>
      <c r="M57" s="988"/>
      <c r="N57" s="988"/>
      <c r="O57" s="988"/>
      <c r="P57" s="988"/>
      <c r="Q57" s="988"/>
      <c r="R57" s="990"/>
      <c r="S57" s="988"/>
    </row>
    <row r="58" spans="1:22">
      <c r="A58" s="988"/>
      <c r="B58" s="988"/>
      <c r="C58" s="988"/>
      <c r="D58" s="988"/>
      <c r="E58" s="988"/>
      <c r="F58" s="988"/>
      <c r="G58" s="988"/>
      <c r="H58" s="988"/>
      <c r="I58" s="988"/>
      <c r="J58" s="988"/>
      <c r="K58" s="988"/>
      <c r="L58" s="988"/>
      <c r="M58" s="988"/>
      <c r="N58" s="988"/>
      <c r="O58" s="988"/>
      <c r="P58" s="988"/>
      <c r="Q58" s="988"/>
      <c r="R58" s="990"/>
      <c r="S58" s="988"/>
    </row>
    <row r="59" spans="1:22">
      <c r="A59" s="988"/>
      <c r="B59" s="988"/>
      <c r="C59" s="988"/>
      <c r="D59" s="988"/>
      <c r="E59" s="988"/>
      <c r="F59" s="988"/>
      <c r="G59" s="988"/>
      <c r="H59" s="988"/>
      <c r="I59" s="988"/>
      <c r="J59" s="988"/>
      <c r="K59" s="988"/>
      <c r="L59" s="988"/>
      <c r="M59" s="988"/>
      <c r="N59" s="988"/>
      <c r="O59" s="988"/>
      <c r="P59" s="988"/>
      <c r="Q59" s="988"/>
      <c r="R59" s="990"/>
      <c r="S59" s="988"/>
    </row>
    <row r="60" spans="1:22">
      <c r="A60" s="988"/>
      <c r="B60" s="988"/>
      <c r="C60" s="988"/>
      <c r="D60" s="988"/>
      <c r="E60" s="988"/>
      <c r="F60" s="988"/>
      <c r="G60" s="988"/>
      <c r="H60" s="988"/>
      <c r="I60" s="988"/>
      <c r="J60" s="988"/>
      <c r="K60" s="988"/>
      <c r="L60" s="988"/>
      <c r="M60" s="988"/>
      <c r="N60" s="988"/>
      <c r="O60" s="988"/>
      <c r="P60" s="988"/>
      <c r="Q60" s="988"/>
      <c r="R60" s="990"/>
      <c r="S60" s="988"/>
    </row>
    <row r="61" spans="1:22">
      <c r="A61" s="988"/>
      <c r="B61" s="988"/>
      <c r="C61" s="988"/>
      <c r="D61" s="988"/>
      <c r="E61" s="988"/>
      <c r="F61" s="988"/>
      <c r="G61" s="988"/>
      <c r="H61" s="988"/>
      <c r="I61" s="988"/>
      <c r="J61" s="988"/>
      <c r="K61" s="988"/>
      <c r="L61" s="988"/>
      <c r="M61" s="988"/>
      <c r="N61" s="988"/>
      <c r="O61" s="988"/>
      <c r="P61" s="988"/>
      <c r="Q61" s="988"/>
      <c r="R61" s="990"/>
      <c r="S61" s="988"/>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765625" defaultRowHeight="15.5"/>
  <cols>
    <col min="1" max="1" width="45.765625" style="101" customWidth="1"/>
    <col min="2" max="2" width="2.4609375" style="101" customWidth="1"/>
    <col min="3" max="3" width="15.07421875" style="101" customWidth="1"/>
    <col min="4" max="4" width="1.765625" style="101" customWidth="1"/>
    <col min="5" max="5" width="15.07421875" style="101" customWidth="1"/>
    <col min="6" max="6" width="2.765625" style="101" customWidth="1"/>
    <col min="7" max="7" width="15.07421875" style="101" customWidth="1"/>
    <col min="8" max="8" width="2" style="101" customWidth="1"/>
    <col min="9" max="9" width="14.765625" style="101" customWidth="1"/>
    <col min="10" max="10" width="2.07421875" style="101" customWidth="1"/>
    <col min="11" max="11" width="14.07421875" style="101" customWidth="1"/>
    <col min="12" max="12" width="8.765625" style="101"/>
    <col min="13" max="13" width="10.07421875" style="101" bestFit="1" customWidth="1"/>
    <col min="14" max="16384" width="8.765625" style="101"/>
  </cols>
  <sheetData>
    <row r="1" spans="1:11">
      <c r="A1" s="917" t="s">
        <v>885</v>
      </c>
    </row>
    <row r="2" spans="1:11">
      <c r="A2" s="820"/>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row>
    <row r="5" spans="1:11" ht="17.25" customHeight="1">
      <c r="A5" s="3922" t="s">
        <v>1417</v>
      </c>
      <c r="B5" s="3923"/>
      <c r="C5" s="3923"/>
      <c r="D5" s="3923"/>
      <c r="E5" s="3923"/>
      <c r="F5" s="143"/>
      <c r="G5" s="146"/>
      <c r="H5" s="143"/>
      <c r="I5" s="143"/>
      <c r="J5" s="143"/>
      <c r="K5" s="143"/>
    </row>
    <row r="6" spans="1:11" ht="17.25" customHeight="1">
      <c r="A6" s="815" t="s">
        <v>1418</v>
      </c>
      <c r="B6" s="147"/>
      <c r="C6" s="148"/>
      <c r="D6" s="143"/>
      <c r="E6" s="148"/>
      <c r="F6" s="143"/>
      <c r="G6" s="143"/>
      <c r="H6" s="143"/>
      <c r="I6" s="143"/>
      <c r="J6" s="143"/>
      <c r="K6" s="143"/>
    </row>
    <row r="7" spans="1:11" ht="18">
      <c r="A7" s="191" t="s">
        <v>1281</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24" t="s">
        <v>1045</v>
      </c>
      <c r="D11" s="3924"/>
      <c r="E11" s="3924"/>
      <c r="F11" s="3924"/>
      <c r="G11" s="3924"/>
      <c r="H11" s="3924"/>
      <c r="I11" s="3924"/>
      <c r="J11" s="1166"/>
      <c r="K11" s="1167"/>
    </row>
    <row r="12" spans="1:11">
      <c r="A12" s="31"/>
      <c r="B12" s="151"/>
      <c r="C12" s="152"/>
      <c r="D12" s="152"/>
      <c r="E12" s="152"/>
      <c r="F12" s="152"/>
      <c r="G12" s="152"/>
      <c r="H12" s="152"/>
      <c r="I12" s="153" t="s">
        <v>83</v>
      </c>
      <c r="J12" s="153"/>
      <c r="K12" s="153" t="s">
        <v>83</v>
      </c>
    </row>
    <row r="13" spans="1:11">
      <c r="A13" s="31"/>
      <c r="B13" s="151"/>
      <c r="C13" s="152"/>
      <c r="D13" s="152"/>
      <c r="E13" s="152"/>
      <c r="F13" s="152"/>
      <c r="G13" s="152"/>
      <c r="H13" s="152"/>
      <c r="I13" s="153" t="s">
        <v>798</v>
      </c>
      <c r="J13" s="153"/>
      <c r="K13" s="153" t="s">
        <v>798</v>
      </c>
    </row>
    <row r="14" spans="1:11">
      <c r="A14" s="31"/>
      <c r="B14" s="151"/>
      <c r="C14" s="154" t="s">
        <v>994</v>
      </c>
      <c r="D14" s="152"/>
      <c r="E14" s="153" t="s">
        <v>995</v>
      </c>
      <c r="F14" s="152"/>
      <c r="G14" s="152"/>
      <c r="H14" s="152"/>
      <c r="I14" s="153" t="s">
        <v>84</v>
      </c>
      <c r="J14" s="153"/>
      <c r="K14" s="153" t="s">
        <v>84</v>
      </c>
    </row>
    <row r="15" spans="1:11">
      <c r="A15" s="31"/>
      <c r="B15" s="151"/>
      <c r="C15" s="153" t="s">
        <v>1031</v>
      </c>
      <c r="D15" s="152"/>
      <c r="E15" s="153" t="s">
        <v>1031</v>
      </c>
      <c r="F15" s="152"/>
      <c r="G15" s="152"/>
      <c r="H15" s="152"/>
      <c r="I15" s="153" t="s">
        <v>994</v>
      </c>
      <c r="J15" s="153"/>
      <c r="K15" s="153" t="s">
        <v>995</v>
      </c>
    </row>
    <row r="16" spans="1:11">
      <c r="A16" s="31"/>
      <c r="B16" s="151"/>
      <c r="C16" s="153" t="s">
        <v>1032</v>
      </c>
      <c r="D16" s="152"/>
      <c r="E16" s="153" t="s">
        <v>1433</v>
      </c>
      <c r="F16" s="152"/>
      <c r="G16" s="154" t="s">
        <v>83</v>
      </c>
      <c r="H16" s="152"/>
      <c r="I16" s="153" t="s">
        <v>85</v>
      </c>
      <c r="J16" s="153"/>
      <c r="K16" s="153" t="s">
        <v>85</v>
      </c>
    </row>
    <row r="17" spans="1:13">
      <c r="A17" s="155"/>
      <c r="B17" s="156"/>
      <c r="C17" s="157"/>
      <c r="D17" s="143"/>
      <c r="E17" s="157"/>
      <c r="F17" s="143"/>
      <c r="G17" s="157"/>
      <c r="H17" s="143"/>
      <c r="I17" s="157"/>
      <c r="J17" s="156"/>
      <c r="K17" s="157"/>
    </row>
    <row r="18" spans="1:13">
      <c r="A18" s="29" t="s">
        <v>13</v>
      </c>
      <c r="B18" s="158"/>
      <c r="C18" s="159"/>
      <c r="D18" s="159"/>
      <c r="E18" s="159"/>
      <c r="F18" s="159"/>
      <c r="G18" s="159"/>
      <c r="H18" s="159"/>
      <c r="I18" s="159"/>
      <c r="J18" s="159"/>
      <c r="K18" s="158"/>
    </row>
    <row r="19" spans="1:13" ht="15" customHeight="1">
      <c r="A19" s="814" t="s">
        <v>86</v>
      </c>
      <c r="B19" s="160" t="s">
        <v>14</v>
      </c>
      <c r="C19" s="161"/>
      <c r="D19" s="160"/>
      <c r="E19" s="161"/>
      <c r="F19" s="160"/>
      <c r="G19" s="99"/>
      <c r="H19" s="160"/>
      <c r="I19" s="99"/>
      <c r="J19" s="99"/>
      <c r="K19" s="52"/>
    </row>
    <row r="20" spans="1:13">
      <c r="A20" s="162" t="s">
        <v>87</v>
      </c>
      <c r="B20" s="160" t="s">
        <v>14</v>
      </c>
      <c r="C20" s="1871">
        <f>'Exh D General Fund'!C20+'Exh D Special Revenue'!C20+'Exh D Debt Service'!C20</f>
        <v>0</v>
      </c>
      <c r="D20" s="2134"/>
      <c r="E20" s="1871">
        <f>+'Exh D General Fund'!E20+'Exh D Special Revenue'!E20+'Exh D Debt Service'!E20</f>
        <v>0</v>
      </c>
      <c r="F20" s="163"/>
      <c r="G20" s="50">
        <f>+'Exh D General Fund'!G20+'Exh D Special Revenue'!G20+'Exh D Debt Service'!G20</f>
        <v>6525.8</v>
      </c>
      <c r="H20" s="163"/>
      <c r="I20" s="50">
        <v>0</v>
      </c>
      <c r="J20" s="164"/>
      <c r="K20" s="965">
        <v>0</v>
      </c>
      <c r="M20" s="1168"/>
    </row>
    <row r="21" spans="1:13">
      <c r="A21" s="814" t="s">
        <v>88</v>
      </c>
      <c r="B21" s="158" t="s">
        <v>14</v>
      </c>
      <c r="C21" s="118">
        <f>+'Exh D General Fund'!C21+'Exh D Debt Service'!C21+'Exh D Special Revenue'!C21+'Exh D Capital Projects'!C20</f>
        <v>0</v>
      </c>
      <c r="D21" s="118"/>
      <c r="E21" s="118">
        <f>+'Exh D General Fund'!E21+'Exh D Special Revenue'!E21+'Exh D Debt Service'!E21+'Exh D Capital Projects'!E20</f>
        <v>0</v>
      </c>
      <c r="F21" s="66"/>
      <c r="G21" s="66">
        <f>+'Exh D General Fund'!G21+'Exh D Special Revenue'!G21+'Exh D Debt Service'!G21+'Exh D Capital Projects'!G20</f>
        <v>1477.6999999999998</v>
      </c>
      <c r="H21" s="66"/>
      <c r="I21" s="66">
        <v>0</v>
      </c>
      <c r="J21" s="164"/>
      <c r="K21" s="937">
        <v>0</v>
      </c>
      <c r="M21" s="1168"/>
    </row>
    <row r="22" spans="1:13" ht="15" customHeight="1">
      <c r="A22" s="814" t="s">
        <v>89</v>
      </c>
      <c r="B22" s="160" t="s">
        <v>14</v>
      </c>
      <c r="C22" s="118">
        <f>+'Exh D General Fund'!C22+'Exh D Special Revenue'!C22+'Exh D Capital Projects'!C21</f>
        <v>0</v>
      </c>
      <c r="D22" s="119"/>
      <c r="E22" s="118">
        <f>+'Exh D General Fund'!E22+'Exh D Special Revenue'!E22+'Exh D Capital Projects'!E21</f>
        <v>0</v>
      </c>
      <c r="F22" s="77"/>
      <c r="G22" s="66">
        <f>+'Exh D General Fund'!G22+'Exh D Special Revenue'!G22+'Exh D Capital Projects'!G21</f>
        <v>969.8</v>
      </c>
      <c r="H22" s="77"/>
      <c r="I22" s="66">
        <v>0</v>
      </c>
      <c r="J22" s="164"/>
      <c r="K22" s="937">
        <v>0</v>
      </c>
      <c r="M22" s="1168"/>
    </row>
    <row r="23" spans="1:13" ht="14.25" customHeight="1">
      <c r="A23" s="814" t="s">
        <v>90</v>
      </c>
      <c r="B23" s="158" t="s">
        <v>14</v>
      </c>
      <c r="C23" s="118">
        <f>+'Exh D General Fund'!C23+'Exh D Capital Projects'!C22+'Exh D Debt Service'!C22</f>
        <v>0</v>
      </c>
      <c r="D23" s="118"/>
      <c r="E23" s="118">
        <f>+'Exh D General Fund'!E23+'Exh D Debt Service'!E22+'Exh D Capital Projects'!E22</f>
        <v>0</v>
      </c>
      <c r="F23" s="66"/>
      <c r="G23" s="66">
        <f>+'Exh D General Fund'!G23+'Exh D Debt Service'!G22+'Exh D Capital Projects'!G22</f>
        <v>218.7</v>
      </c>
      <c r="H23" s="66"/>
      <c r="I23" s="66">
        <v>0</v>
      </c>
      <c r="J23" s="164"/>
      <c r="K23" s="937">
        <v>0</v>
      </c>
      <c r="L23" s="1168"/>
      <c r="M23" s="1168"/>
    </row>
    <row r="24" spans="1:13">
      <c r="A24" s="814" t="s">
        <v>19</v>
      </c>
      <c r="B24" s="158" t="s">
        <v>14</v>
      </c>
      <c r="C24" s="118">
        <f>+'Exh D General Fund'!C24+'Exh D Special Revenue'!C23+'Exh D Debt Service'!C23+'Exh D Capital Projects'!C23</f>
        <v>0</v>
      </c>
      <c r="D24" s="118"/>
      <c r="E24" s="118">
        <f>+'Exh D General Fund'!E24+'Exh D Special Revenue'!E23+'Exh D Debt Service'!E23+'Exh D Capital Projects'!E23</f>
        <v>0</v>
      </c>
      <c r="F24" s="66"/>
      <c r="G24" s="118">
        <f>+'Exh D General Fund'!G24+'Exh D Special Revenue'!G23+'Exh D Debt Service'!G23+'Exh D Capital Projects'!G23</f>
        <v>1729.5</v>
      </c>
      <c r="H24" s="66"/>
      <c r="I24" s="66">
        <v>0</v>
      </c>
      <c r="J24" s="165"/>
      <c r="K24" s="937">
        <v>0</v>
      </c>
      <c r="M24" s="1168"/>
    </row>
    <row r="25" spans="1:13" ht="15" customHeight="1">
      <c r="A25" s="814" t="s">
        <v>20</v>
      </c>
      <c r="B25" s="158" t="s">
        <v>14</v>
      </c>
      <c r="C25" s="671">
        <f>+'Exh D General Fund'!C25+'Exh D Debt Service'!C24+'Exh D Special Revenue'!C24+'Exh D Capital Projects'!C24</f>
        <v>0</v>
      </c>
      <c r="D25" s="118"/>
      <c r="E25" s="671">
        <f>+'Exh D General Fund'!E25+'Exh D Special Revenue'!E24+'Exh D Debt Service'!E24+'Exh D Capital Projects'!E24</f>
        <v>0</v>
      </c>
      <c r="F25" s="66"/>
      <c r="G25" s="276">
        <f>+'Exh D General Fund'!G25+'Exh D Special Revenue'!G24+'Exh D Debt Service'!G24+'Exh D Capital Projects'!G24</f>
        <v>7164.2</v>
      </c>
      <c r="H25" s="66"/>
      <c r="I25" s="66">
        <v>0</v>
      </c>
      <c r="J25" s="165"/>
      <c r="K25" s="937">
        <v>0</v>
      </c>
      <c r="M25" s="1168"/>
    </row>
    <row r="26" spans="1:13">
      <c r="A26" s="173" t="s">
        <v>91</v>
      </c>
      <c r="B26" s="151" t="s">
        <v>14</v>
      </c>
      <c r="C26" s="1477">
        <f>ROUND(SUM(C20:C25),1)</f>
        <v>0</v>
      </c>
      <c r="D26" s="112"/>
      <c r="E26" s="1477">
        <f>ROUND(SUM(E20:E25),1)</f>
        <v>0</v>
      </c>
      <c r="F26" s="62"/>
      <c r="G26" s="215">
        <f>ROUND(SUM(G20:G25),1)</f>
        <v>18085.7</v>
      </c>
      <c r="H26" s="62"/>
      <c r="I26" s="215">
        <f>ROUND(SUM(I20:I25),1)</f>
        <v>0</v>
      </c>
      <c r="J26" s="166"/>
      <c r="K26" s="215">
        <f>ROUND(SUM(K20:K25),1)</f>
        <v>0</v>
      </c>
      <c r="M26" s="1168"/>
    </row>
    <row r="27" spans="1:13">
      <c r="A27" s="31"/>
      <c r="B27" s="158" t="s">
        <v>14</v>
      </c>
      <c r="C27" s="126"/>
      <c r="D27" s="118"/>
      <c r="E27" s="126"/>
      <c r="F27" s="66"/>
      <c r="G27" s="88"/>
      <c r="H27" s="66"/>
      <c r="I27" s="88"/>
      <c r="J27" s="59"/>
      <c r="K27" s="88"/>
      <c r="M27" s="1168"/>
    </row>
    <row r="28" spans="1:13">
      <c r="A28" s="29" t="s">
        <v>22</v>
      </c>
      <c r="B28" s="158" t="s">
        <v>14</v>
      </c>
      <c r="C28" s="118"/>
      <c r="D28" s="118"/>
      <c r="E28" s="118"/>
      <c r="F28" s="66"/>
      <c r="G28" s="66"/>
      <c r="H28" s="66"/>
      <c r="I28" s="66"/>
      <c r="J28" s="165"/>
      <c r="K28" s="56"/>
      <c r="M28" s="1168"/>
    </row>
    <row r="29" spans="1:13">
      <c r="A29" s="814" t="s">
        <v>92</v>
      </c>
      <c r="B29" s="158" t="s">
        <v>14</v>
      </c>
      <c r="C29" s="671">
        <f>+'Exh D General Fund'!C34+'Exh D Special Revenue'!C29+'Exh D Capital Projects'!C30</f>
        <v>0</v>
      </c>
      <c r="D29" s="118"/>
      <c r="E29" s="671">
        <f>+'Exh D General Fund'!E34+'Exh D Special Revenue'!E29+'Exh D Capital Projects'!E30</f>
        <v>0</v>
      </c>
      <c r="F29" s="66"/>
      <c r="G29" s="671">
        <f>+'Exh D General Fund'!G34+'Exh D Special Revenue'!G29+'Exh D Capital Projects'!G30</f>
        <v>8805.5</v>
      </c>
      <c r="H29" s="66"/>
      <c r="I29" s="66">
        <v>0</v>
      </c>
      <c r="J29" s="165"/>
      <c r="K29" s="937">
        <v>0</v>
      </c>
      <c r="M29" s="1168"/>
    </row>
    <row r="30" spans="1:13">
      <c r="A30" s="814" t="s">
        <v>93</v>
      </c>
      <c r="B30" s="158" t="s">
        <v>14</v>
      </c>
      <c r="C30" s="119">
        <f>+'Exh D General Fund'!C35+'Exh D Special Revenue'!C30+'Exh D Debt Service'!C29</f>
        <v>0</v>
      </c>
      <c r="D30" s="118"/>
      <c r="E30" s="119">
        <f>+'Exh D General Fund'!E35+'Exh D Special Revenue'!E30+'Exh D Debt Service'!E29</f>
        <v>0</v>
      </c>
      <c r="F30" s="66"/>
      <c r="G30" s="77">
        <f>+'Exh D General Fund'!G35+'Exh D Special Revenue'!G30+'Exh D Debt Service'!G29</f>
        <v>1677.6000000000001</v>
      </c>
      <c r="H30" s="66"/>
      <c r="I30" s="66">
        <v>0</v>
      </c>
      <c r="J30" s="165"/>
      <c r="K30" s="937">
        <v>0</v>
      </c>
      <c r="M30" s="1168"/>
    </row>
    <row r="31" spans="1:13">
      <c r="A31" s="814" t="s">
        <v>68</v>
      </c>
      <c r="B31" s="158" t="s">
        <v>14</v>
      </c>
      <c r="C31" s="671">
        <f>+'Exh D General Fund'!C36+'Exh D Special Revenue'!C31</f>
        <v>0</v>
      </c>
      <c r="D31" s="118"/>
      <c r="E31" s="671">
        <f>+'Exh D General Fund'!E36+'Exh D Special Revenue'!E31</f>
        <v>0</v>
      </c>
      <c r="F31" s="66"/>
      <c r="G31" s="276">
        <f>+'Exh D General Fund'!G36+'Exh D Special Revenue'!G31</f>
        <v>895.5</v>
      </c>
      <c r="H31" s="66"/>
      <c r="I31" s="66">
        <v>0</v>
      </c>
      <c r="J31" s="165"/>
      <c r="K31" s="937">
        <v>0</v>
      </c>
      <c r="M31" s="1168"/>
    </row>
    <row r="32" spans="1:13">
      <c r="A32" s="814" t="s">
        <v>94</v>
      </c>
      <c r="B32" s="158" t="s">
        <v>14</v>
      </c>
      <c r="C32" s="119">
        <f>+'Exh D Debt Service'!C30+'Exh D Special Revenue'!C32</f>
        <v>0</v>
      </c>
      <c r="D32" s="118"/>
      <c r="E32" s="119">
        <f>+'Exh D Debt Service'!E30+'Exh D Special Revenue'!E32</f>
        <v>0</v>
      </c>
      <c r="F32" s="66"/>
      <c r="G32" s="77">
        <f>+'Exh D Debt Service'!G30+'Exh D Special Revenue'!K32</f>
        <v>122.4</v>
      </c>
      <c r="H32" s="66"/>
      <c r="I32" s="66">
        <v>0</v>
      </c>
      <c r="J32" s="165"/>
      <c r="K32" s="937">
        <v>0</v>
      </c>
      <c r="M32" s="1168"/>
    </row>
    <row r="33" spans="1:14" ht="15" customHeight="1">
      <c r="A33" s="814" t="s">
        <v>41</v>
      </c>
      <c r="B33" s="158" t="s">
        <v>14</v>
      </c>
      <c r="C33" s="671">
        <f>+'Exh D Special Revenue'!C33+'Exh D Capital Projects'!C31</f>
        <v>0</v>
      </c>
      <c r="D33" s="118"/>
      <c r="E33" s="671">
        <f>+'Exh D Special Revenue'!E33+'Exh D Capital Projects'!E31</f>
        <v>0</v>
      </c>
      <c r="F33" s="66"/>
      <c r="G33" s="276">
        <f>+'Exh D Special Revenue'!G33+'Exh D Capital Projects'!G31</f>
        <v>398.20000000000005</v>
      </c>
      <c r="H33" s="66"/>
      <c r="I33" s="66">
        <v>0</v>
      </c>
      <c r="J33" s="165"/>
      <c r="K33" s="937">
        <v>0</v>
      </c>
      <c r="M33" s="1168"/>
    </row>
    <row r="34" spans="1:14" ht="15.75" customHeight="1">
      <c r="A34" s="173" t="s">
        <v>95</v>
      </c>
      <c r="B34" s="151" t="s">
        <v>14</v>
      </c>
      <c r="C34" s="1090">
        <f>ROUND(SUM(C29:C33),1)</f>
        <v>0</v>
      </c>
      <c r="D34" s="112"/>
      <c r="E34" s="1090">
        <f>ROUND(SUM(E29:E33),1)</f>
        <v>0</v>
      </c>
      <c r="F34" s="62"/>
      <c r="G34" s="294">
        <f>ROUND(SUM(G29:G33),1)</f>
        <v>11899.2</v>
      </c>
      <c r="H34" s="62"/>
      <c r="I34" s="294">
        <f>ROUND(SUM(I29:I33),1)</f>
        <v>0</v>
      </c>
      <c r="J34" s="166"/>
      <c r="K34" s="294">
        <f>ROUND(SUM(K29:K33),1)</f>
        <v>0</v>
      </c>
      <c r="M34" s="1168"/>
    </row>
    <row r="35" spans="1:14">
      <c r="A35" s="31"/>
      <c r="B35" s="158"/>
      <c r="C35" s="118"/>
      <c r="D35" s="118"/>
      <c r="E35" s="118"/>
      <c r="F35" s="66"/>
      <c r="G35" s="66"/>
      <c r="H35" s="66"/>
      <c r="I35" s="66"/>
      <c r="J35" s="165"/>
      <c r="K35" s="56"/>
      <c r="M35" s="1168"/>
    </row>
    <row r="36" spans="1:14">
      <c r="A36" s="173" t="s">
        <v>43</v>
      </c>
      <c r="B36" s="158"/>
      <c r="C36" s="118"/>
      <c r="D36" s="118"/>
      <c r="E36" s="118"/>
      <c r="F36" s="66"/>
      <c r="G36" s="66"/>
      <c r="H36" s="66"/>
      <c r="I36" s="66"/>
      <c r="J36" s="165"/>
      <c r="K36" s="56"/>
      <c r="M36" s="1168"/>
    </row>
    <row r="37" spans="1:14">
      <c r="A37" s="173" t="s">
        <v>44</v>
      </c>
      <c r="B37" s="158" t="s">
        <v>14</v>
      </c>
      <c r="C37" s="113">
        <f>ROUND(SUM(+C26-C34),1)</f>
        <v>0</v>
      </c>
      <c r="D37" s="118"/>
      <c r="E37" s="113">
        <f>ROUND(SUM(+E26-E34),1)</f>
        <v>0</v>
      </c>
      <c r="F37" s="66"/>
      <c r="G37" s="74">
        <f>ROUND(SUM(+G26-G34),1)</f>
        <v>6186.5</v>
      </c>
      <c r="H37" s="66"/>
      <c r="I37" s="74">
        <f>ROUND(SUM(+I26-I34),1)</f>
        <v>0</v>
      </c>
      <c r="J37" s="59"/>
      <c r="K37" s="823">
        <f>ROUND(SUM(+K26-K34),1)</f>
        <v>0</v>
      </c>
      <c r="M37" s="1168"/>
    </row>
    <row r="38" spans="1:14">
      <c r="A38" s="31"/>
      <c r="B38" s="158"/>
      <c r="C38" s="118"/>
      <c r="D38" s="118"/>
      <c r="E38" s="118"/>
      <c r="F38" s="66"/>
      <c r="G38" s="66"/>
      <c r="H38" s="66"/>
      <c r="I38" s="66"/>
      <c r="J38" s="165"/>
      <c r="K38" s="56"/>
      <c r="M38" s="1168"/>
    </row>
    <row r="39" spans="1:14">
      <c r="A39" s="173" t="s">
        <v>45</v>
      </c>
      <c r="B39" s="158"/>
      <c r="C39" s="118"/>
      <c r="D39" s="118"/>
      <c r="E39" s="118"/>
      <c r="F39" s="66"/>
      <c r="G39" s="66"/>
      <c r="H39" s="66"/>
      <c r="I39" s="66"/>
      <c r="J39" s="165"/>
      <c r="K39" s="56"/>
      <c r="M39" s="1168"/>
      <c r="N39" s="925" t="s">
        <v>14</v>
      </c>
    </row>
    <row r="40" spans="1:14">
      <c r="A40" s="814" t="s">
        <v>96</v>
      </c>
      <c r="B40" s="158" t="s">
        <v>14</v>
      </c>
      <c r="C40" s="1074">
        <f>'Exh D Captl Projects State Fed'!C25</f>
        <v>0</v>
      </c>
      <c r="D40" s="118"/>
      <c r="E40" s="1074">
        <f>'Exh D Captl Projects State Fed'!E25</f>
        <v>0</v>
      </c>
      <c r="F40" s="66"/>
      <c r="G40" s="277">
        <f>'Exh D Captl Projects State Fed'!G25</f>
        <v>0</v>
      </c>
      <c r="H40" s="66"/>
      <c r="I40" s="66">
        <f>ROUND(SUM(G40)-SUM(C40),1)</f>
        <v>0</v>
      </c>
      <c r="J40" s="171"/>
      <c r="K40" s="937">
        <v>0</v>
      </c>
      <c r="M40" s="1168"/>
    </row>
    <row r="41" spans="1:14">
      <c r="A41" s="814" t="s">
        <v>46</v>
      </c>
      <c r="B41" s="158" t="s">
        <v>14</v>
      </c>
      <c r="C41" s="119">
        <f>+'Exh D General Fund'!C27+'Exh D General Fund'!C28+'Exh D General Fund'!C29+'Exh D General Fund'!C30+'Exh D Special Revenue'!C25+'Exh D Debt Service'!C25+'Exh D Capital Projects'!C26</f>
        <v>0</v>
      </c>
      <c r="D41" s="118"/>
      <c r="E41" s="119">
        <f>+'Exh D General Fund'!E27+'Exh D General Fund'!E28+'Exh D General Fund'!E29+'Exh D General Fund'!E30+'Exh D Special Revenue'!E25+'Exh D Debt Service'!E25+'Exh D Capital Projects'!E26</f>
        <v>0</v>
      </c>
      <c r="F41" s="66"/>
      <c r="G41" s="77">
        <f>+'Exh D General Fund'!G27+'Exh D General Fund'!G28+'Exh D General Fund'!G29+'Exh D General Fund'!G30+'Exh D Special Revenue'!K25+'Exh D Debt Service'!G25+'Exh D Capital Projects'!K26</f>
        <v>5344.7999999999993</v>
      </c>
      <c r="H41" s="66"/>
      <c r="I41" s="66">
        <v>0</v>
      </c>
      <c r="J41" s="165"/>
      <c r="K41" s="937">
        <v>0</v>
      </c>
      <c r="M41" s="1168"/>
    </row>
    <row r="42" spans="1:14">
      <c r="A42" s="814" t="s">
        <v>97</v>
      </c>
      <c r="B42" s="158" t="s">
        <v>14</v>
      </c>
      <c r="C42" s="2135">
        <f>-(+'Exh D General Fund'!C38+'Exh D General Fund'!C39+'Exh D General Fund'!C40+'Exh D General Fund'!C41+'Exh D General Fund'!C42+'Exh D Special Revenue'!C34+'Exh D Debt Service'!C31+'Exh D Capital Projects'!C32)</f>
        <v>0</v>
      </c>
      <c r="D42" s="118"/>
      <c r="E42" s="2135">
        <f>-(+'Exh D General Fund'!E38+'Exh D General Fund'!E39+'Exh D General Fund'!E40+'Exh D General Fund'!E41+'Exh D General Fund'!E42+'Exh D Special Revenue'!E34+'Exh D Debt Service'!E31+'Exh D Capital Projects'!E32)</f>
        <v>0</v>
      </c>
      <c r="F42" s="66"/>
      <c r="G42" s="281">
        <f>-(+'Exh D General Fund'!G38+'Exh D General Fund'!G39+'Exh D General Fund'!G40+'Exh D General Fund'!G41+'Exh D General Fund'!G42+'Exh D Special Revenue'!K34+'Exh D Debt Service'!G31+'Exh D Capital Projects'!K32)</f>
        <v>-5350.2</v>
      </c>
      <c r="H42" s="66"/>
      <c r="I42" s="531">
        <v>0</v>
      </c>
      <c r="J42" s="59"/>
      <c r="K42" s="937">
        <v>0</v>
      </c>
      <c r="M42" s="1168"/>
    </row>
    <row r="43" spans="1:14">
      <c r="A43" s="173" t="s">
        <v>98</v>
      </c>
      <c r="B43" s="158" t="s">
        <v>14</v>
      </c>
      <c r="C43" s="120">
        <f>ROUND(+SUM(C40)+C41+C42,1)</f>
        <v>0</v>
      </c>
      <c r="D43" s="118"/>
      <c r="E43" s="120">
        <f>ROUND(+SUM(E40)+E41+E42,1)</f>
        <v>0</v>
      </c>
      <c r="F43" s="66"/>
      <c r="G43" s="283">
        <f>ROUND(+SUM(G40)+G41+G42,1)</f>
        <v>-5.4</v>
      </c>
      <c r="H43" s="66"/>
      <c r="I43" s="283">
        <f>ROUND(SUM(I40+I41-I42),1)</f>
        <v>0</v>
      </c>
      <c r="J43" s="172"/>
      <c r="K43" s="1570">
        <f>ROUND(SUM(K40+K41-K42),1)</f>
        <v>0</v>
      </c>
      <c r="M43" s="1168"/>
    </row>
    <row r="44" spans="1:14">
      <c r="A44" s="173"/>
      <c r="B44" s="158"/>
      <c r="C44" s="119"/>
      <c r="D44" s="118"/>
      <c r="E44" s="119"/>
      <c r="F44" s="66"/>
      <c r="G44" s="77"/>
      <c r="H44" s="66"/>
      <c r="I44" s="77"/>
      <c r="J44" s="160"/>
      <c r="K44" s="78"/>
      <c r="M44" s="1168"/>
    </row>
    <row r="45" spans="1:14">
      <c r="A45" s="29" t="s">
        <v>99</v>
      </c>
      <c r="B45" s="158"/>
      <c r="C45" s="118"/>
      <c r="D45" s="118"/>
      <c r="E45" s="118"/>
      <c r="F45" s="66"/>
      <c r="G45" s="66"/>
      <c r="H45" s="66"/>
      <c r="I45" s="66"/>
      <c r="J45" s="165"/>
      <c r="K45" s="56"/>
      <c r="M45" s="1168"/>
    </row>
    <row r="46" spans="1:14" ht="15" customHeight="1">
      <c r="A46" s="29" t="s">
        <v>100</v>
      </c>
      <c r="B46" s="158"/>
      <c r="C46" s="118"/>
      <c r="D46" s="118"/>
      <c r="E46" s="118"/>
      <c r="F46" s="66"/>
      <c r="G46" s="66"/>
      <c r="H46" s="66"/>
      <c r="I46" s="66"/>
      <c r="J46" s="165"/>
      <c r="K46" s="56"/>
      <c r="M46" s="1168"/>
    </row>
    <row r="47" spans="1:14">
      <c r="A47" s="173" t="s">
        <v>101</v>
      </c>
      <c r="B47" s="174" t="s">
        <v>14</v>
      </c>
      <c r="C47" s="115">
        <f>ROUND(SUM(C26)-SUM(C34)+C43,1)</f>
        <v>0</v>
      </c>
      <c r="D47" s="1099"/>
      <c r="E47" s="115">
        <f>ROUND(SUM(E26)-SUM(E34)+E43,1)</f>
        <v>0</v>
      </c>
      <c r="F47" s="84"/>
      <c r="G47" s="76">
        <f>ROUND(SUM(G26)-SUM(G34)+G43,1)</f>
        <v>6181.1</v>
      </c>
      <c r="H47" s="84"/>
      <c r="I47" s="76">
        <f>ROUND(SUM(I26)-SUM(I34)+I43,1)</f>
        <v>0</v>
      </c>
      <c r="J47" s="166"/>
      <c r="K47" s="937">
        <v>0</v>
      </c>
      <c r="M47" s="1168"/>
    </row>
    <row r="48" spans="1:14">
      <c r="A48" s="34"/>
      <c r="B48" s="176"/>
      <c r="C48" s="1785"/>
      <c r="D48" s="2136"/>
      <c r="E48" s="1785"/>
      <c r="F48" s="675"/>
      <c r="G48" s="340"/>
      <c r="H48" s="675"/>
      <c r="I48" s="340"/>
      <c r="J48" s="178"/>
      <c r="K48" s="937" t="s">
        <v>14</v>
      </c>
      <c r="M48" s="1168"/>
    </row>
    <row r="49" spans="1:13">
      <c r="A49" s="173" t="s">
        <v>102</v>
      </c>
      <c r="B49" s="179" t="s">
        <v>14</v>
      </c>
      <c r="C49" s="115">
        <f>'Exh D General Fund'!C49+'Exh D Special Revenue'!C41+'Exh D Debt Service'!C38+'Exh D Capital Projects'!C39</f>
        <v>0</v>
      </c>
      <c r="D49" s="2136"/>
      <c r="E49" s="115">
        <v>0</v>
      </c>
      <c r="F49" s="675"/>
      <c r="G49" s="76">
        <f>'Exh D General Fund'!G49+'Exh D Special Revenue'!G41+'Exh D Debt Service'!G38+'Exh D Capital Projects'!G39</f>
        <v>18751.099999999999</v>
      </c>
      <c r="H49" s="675"/>
      <c r="I49" s="76">
        <v>0</v>
      </c>
      <c r="J49" s="166"/>
      <c r="K49" s="937">
        <v>0</v>
      </c>
      <c r="M49" s="1168"/>
    </row>
    <row r="50" spans="1:13" ht="16" thickBot="1">
      <c r="A50" s="1571" t="s">
        <v>1419</v>
      </c>
      <c r="B50" s="180" t="s">
        <v>14</v>
      </c>
      <c r="C50" s="1479">
        <f>ROUND(SUM(C47:C49),1)</f>
        <v>0</v>
      </c>
      <c r="D50" s="2051"/>
      <c r="E50" s="1479">
        <f>ROUND(SUM(E47:E49),1)</f>
        <v>0</v>
      </c>
      <c r="F50" s="181"/>
      <c r="G50" s="98">
        <f>ROUND(SUM(G47:G49),1)</f>
        <v>24932.2</v>
      </c>
      <c r="H50" s="181"/>
      <c r="I50" s="98">
        <f>ROUND(SUM(I47:I49),1)</f>
        <v>0</v>
      </c>
      <c r="J50" s="182"/>
      <c r="K50" s="98">
        <f>ROUND(SUM(K47:K49),1)</f>
        <v>0</v>
      </c>
      <c r="M50" s="1168"/>
    </row>
    <row r="51" spans="1:13" ht="16" thickTop="1">
      <c r="A51" s="34"/>
      <c r="B51" s="176"/>
      <c r="C51" s="2137"/>
      <c r="D51" s="2138"/>
      <c r="E51" s="2137"/>
      <c r="F51" s="177"/>
      <c r="G51" s="177"/>
      <c r="H51" s="177"/>
      <c r="I51" s="177"/>
      <c r="J51" s="177"/>
      <c r="K51" s="176"/>
      <c r="M51" s="1168"/>
    </row>
    <row r="52" spans="1:13">
      <c r="A52" s="930" t="s">
        <v>1539</v>
      </c>
      <c r="G52" s="1168"/>
      <c r="K52" s="1191"/>
      <c r="M52" s="1168"/>
    </row>
    <row r="53" spans="1:13">
      <c r="A53" s="930" t="s">
        <v>1540</v>
      </c>
      <c r="G53" s="1168"/>
    </row>
    <row r="54" spans="1:13">
      <c r="A54" s="184"/>
    </row>
    <row r="55" spans="1:13">
      <c r="A55" s="183"/>
      <c r="G55" s="1168"/>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765625" defaultRowHeight="15.5"/>
  <cols>
    <col min="1" max="1" width="45.765625" style="101" customWidth="1"/>
    <col min="2" max="2" width="2.4609375" style="101" customWidth="1"/>
    <col min="3" max="3" width="15.07421875" style="101" customWidth="1"/>
    <col min="4" max="4" width="1.765625" style="101" customWidth="1"/>
    <col min="5" max="5" width="15.07421875" style="101" customWidth="1"/>
    <col min="6" max="6" width="2.765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765625" style="101"/>
  </cols>
  <sheetData>
    <row r="1" spans="1:11">
      <c r="A1" s="917" t="s">
        <v>885</v>
      </c>
    </row>
    <row r="2" spans="1:11">
      <c r="A2" s="820"/>
    </row>
    <row r="3" spans="1:11" ht="17.25" customHeight="1">
      <c r="A3" s="141" t="s">
        <v>0</v>
      </c>
      <c r="B3" s="142"/>
      <c r="C3" s="142"/>
      <c r="D3" s="143"/>
      <c r="E3" s="142"/>
      <c r="F3" s="143"/>
      <c r="G3" s="143"/>
      <c r="H3" s="143"/>
      <c r="I3" s="143"/>
      <c r="J3" s="143"/>
      <c r="K3" s="144" t="s">
        <v>82</v>
      </c>
    </row>
    <row r="4" spans="1:11" ht="17.25" customHeight="1">
      <c r="A4" s="141" t="s">
        <v>81</v>
      </c>
      <c r="B4" s="142"/>
      <c r="C4" s="142"/>
      <c r="D4" s="143"/>
      <c r="E4" s="142"/>
      <c r="F4" s="143"/>
      <c r="G4" s="143"/>
      <c r="H4" s="143"/>
      <c r="I4" s="144"/>
      <c r="J4" s="145"/>
      <c r="K4" s="817"/>
    </row>
    <row r="5" spans="1:11" ht="17.25" customHeight="1">
      <c r="A5" s="3925" t="str">
        <f>'Exh D-Governmental  '!A5:E5</f>
        <v>FISCAL YEAR 2021-2022</v>
      </c>
      <c r="B5" s="3926"/>
      <c r="C5" s="3926"/>
      <c r="D5" s="3926"/>
      <c r="E5" s="3926"/>
      <c r="F5" s="143"/>
      <c r="G5" s="146"/>
      <c r="H5" s="143"/>
      <c r="I5" s="817"/>
      <c r="J5" s="143"/>
    </row>
    <row r="6" spans="1:11" ht="17.25" customHeight="1">
      <c r="A6" s="1466" t="str">
        <f>'Exh D-Governmental  '!A6</f>
        <v xml:space="preserve">FOR ONE MONTH ENDED APRIL 30, 2021    </v>
      </c>
      <c r="B6" s="147"/>
      <c r="C6" s="148"/>
      <c r="D6" s="143"/>
      <c r="E6" s="148"/>
      <c r="F6" s="143"/>
      <c r="G6" s="143"/>
      <c r="H6" s="143"/>
      <c r="I6" s="143"/>
      <c r="J6" s="143"/>
      <c r="K6" s="143"/>
    </row>
    <row r="7" spans="1:11" ht="18">
      <c r="A7" s="191" t="s">
        <v>1281</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84"/>
      <c r="B11" s="151"/>
      <c r="C11" s="3924" t="s">
        <v>1434</v>
      </c>
      <c r="D11" s="3924"/>
      <c r="E11" s="3924"/>
      <c r="F11" s="3924"/>
      <c r="G11" s="3924"/>
      <c r="H11" s="3924"/>
      <c r="I11" s="3924"/>
      <c r="J11" s="1171"/>
      <c r="K11" s="1167"/>
    </row>
    <row r="12" spans="1:11">
      <c r="A12" s="684"/>
      <c r="B12" s="151"/>
      <c r="C12" s="152"/>
      <c r="D12" s="152"/>
      <c r="E12" s="152"/>
      <c r="F12" s="152"/>
      <c r="G12" s="152"/>
      <c r="H12" s="152"/>
      <c r="I12" s="153" t="s">
        <v>83</v>
      </c>
      <c r="J12" s="153"/>
      <c r="K12" s="153" t="s">
        <v>83</v>
      </c>
    </row>
    <row r="13" spans="1:11">
      <c r="A13" s="684"/>
      <c r="B13" s="151"/>
      <c r="C13" s="152"/>
      <c r="D13" s="152"/>
      <c r="E13" s="152"/>
      <c r="F13" s="152"/>
      <c r="G13" s="152"/>
      <c r="H13" s="152"/>
      <c r="I13" s="153" t="s">
        <v>798</v>
      </c>
      <c r="J13" s="153"/>
      <c r="K13" s="153" t="s">
        <v>798</v>
      </c>
    </row>
    <row r="14" spans="1:11">
      <c r="A14" s="684"/>
      <c r="B14" s="151"/>
      <c r="C14" s="154" t="s">
        <v>994</v>
      </c>
      <c r="D14" s="152"/>
      <c r="E14" s="153" t="s">
        <v>995</v>
      </c>
      <c r="F14" s="152"/>
      <c r="G14" s="152"/>
      <c r="H14" s="152"/>
      <c r="I14" s="153" t="s">
        <v>84</v>
      </c>
      <c r="J14" s="153"/>
      <c r="K14" s="153" t="s">
        <v>84</v>
      </c>
    </row>
    <row r="15" spans="1:11">
      <c r="A15" s="684"/>
      <c r="B15" s="151"/>
      <c r="C15" s="199" t="s">
        <v>1031</v>
      </c>
      <c r="D15" s="198"/>
      <c r="E15" s="199" t="s">
        <v>1031</v>
      </c>
      <c r="F15" s="152"/>
      <c r="G15" s="152"/>
      <c r="H15" s="152"/>
      <c r="I15" s="153" t="s">
        <v>994</v>
      </c>
      <c r="J15" s="153"/>
      <c r="K15" s="153" t="s">
        <v>995</v>
      </c>
    </row>
    <row r="16" spans="1:11">
      <c r="A16" s="684"/>
      <c r="B16" s="151"/>
      <c r="C16" s="199" t="s">
        <v>1032</v>
      </c>
      <c r="D16" s="198"/>
      <c r="E16" s="153" t="s">
        <v>1433</v>
      </c>
      <c r="F16" s="152"/>
      <c r="G16" s="154" t="s">
        <v>83</v>
      </c>
      <c r="H16" s="152"/>
      <c r="I16" s="153" t="s">
        <v>85</v>
      </c>
      <c r="J16" s="153"/>
      <c r="K16" s="153" t="s">
        <v>85</v>
      </c>
    </row>
    <row r="17" spans="1:12">
      <c r="A17" s="155"/>
      <c r="B17" s="156"/>
      <c r="C17" s="1633"/>
      <c r="D17" s="148"/>
      <c r="E17" s="1633"/>
      <c r="F17" s="143"/>
      <c r="G17" s="157"/>
      <c r="H17" s="143"/>
      <c r="I17" s="157"/>
      <c r="J17" s="156"/>
      <c r="K17" s="157"/>
    </row>
    <row r="18" spans="1:12">
      <c r="A18" s="29" t="s">
        <v>13</v>
      </c>
      <c r="B18" s="918"/>
      <c r="C18" s="1634"/>
      <c r="D18" s="1634"/>
      <c r="E18" s="1634"/>
      <c r="F18" s="653"/>
      <c r="G18" s="653"/>
      <c r="H18" s="653"/>
      <c r="I18" s="918"/>
      <c r="J18" s="653"/>
      <c r="K18" s="918"/>
    </row>
    <row r="19" spans="1:12" ht="15" customHeight="1">
      <c r="A19" s="814" t="s">
        <v>86</v>
      </c>
      <c r="B19" s="919" t="s">
        <v>14</v>
      </c>
      <c r="C19" s="2139"/>
      <c r="D19" s="1928"/>
      <c r="E19" s="2139"/>
      <c r="F19" s="919"/>
      <c r="G19" s="920"/>
      <c r="H19" s="919"/>
      <c r="I19" s="1190"/>
      <c r="J19" s="920"/>
      <c r="K19" s="1190"/>
    </row>
    <row r="20" spans="1:12">
      <c r="A20" s="814" t="s">
        <v>87</v>
      </c>
      <c r="B20" s="919" t="s">
        <v>14</v>
      </c>
      <c r="C20" s="888">
        <f>'Exh D General Fund'!C20+'Exh D Special Revenue State Fed'!C20+'Exh D Debt Service'!C20</f>
        <v>0</v>
      </c>
      <c r="D20" s="887"/>
      <c r="E20" s="888">
        <f>'Exh D General Fund'!E20+'Exh D Special Revenue State Fed'!E20+'Exh D Debt Service'!E20</f>
        <v>0</v>
      </c>
      <c r="F20" s="656"/>
      <c r="G20" s="654">
        <f>+'Exh A Supp'!T15</f>
        <v>6525.8</v>
      </c>
      <c r="H20" s="656"/>
      <c r="I20" s="965">
        <v>0</v>
      </c>
      <c r="J20" s="921"/>
      <c r="K20" s="965">
        <v>0</v>
      </c>
    </row>
    <row r="21" spans="1:12">
      <c r="A21" s="814" t="s">
        <v>88</v>
      </c>
      <c r="B21" s="918" t="s">
        <v>14</v>
      </c>
      <c r="C21" s="889">
        <f>'Exh D General Fund'!C21+'Exh D Special Revenue State Fed'!C21+'Exh D Debt Service'!C21</f>
        <v>0</v>
      </c>
      <c r="D21" s="889"/>
      <c r="E21" s="889">
        <f>'Exh D General Fund'!E21+'Exh D Special Revenue State Fed'!E21+'Exh D Debt Service'!E21</f>
        <v>0</v>
      </c>
      <c r="F21" s="639"/>
      <c r="G21" s="639">
        <f>+'Exh A Supp'!T16</f>
        <v>1434.2</v>
      </c>
      <c r="H21" s="639"/>
      <c r="I21" s="937">
        <v>0</v>
      </c>
      <c r="J21" s="921"/>
      <c r="K21" s="937">
        <v>0</v>
      </c>
    </row>
    <row r="22" spans="1:12" ht="15" customHeight="1">
      <c r="A22" s="814" t="s">
        <v>89</v>
      </c>
      <c r="B22" s="919" t="s">
        <v>14</v>
      </c>
      <c r="C22" s="889">
        <f>'Exh D General Fund'!C22+'Exh D Special Revenue State Fed'!C22</f>
        <v>0</v>
      </c>
      <c r="D22" s="678"/>
      <c r="E22" s="889">
        <f>'Exh D General Fund'!E22+'Exh D Special Revenue State Fed'!E22</f>
        <v>0</v>
      </c>
      <c r="F22" s="676"/>
      <c r="G22" s="639">
        <f>+'Exh A Supp'!T17</f>
        <v>928.5</v>
      </c>
      <c r="H22" s="676"/>
      <c r="I22" s="937">
        <v>0</v>
      </c>
      <c r="J22" s="921"/>
      <c r="K22" s="937">
        <v>0</v>
      </c>
    </row>
    <row r="23" spans="1:12" ht="14.25" customHeight="1">
      <c r="A23" s="814" t="s">
        <v>90</v>
      </c>
      <c r="B23" s="918" t="s">
        <v>14</v>
      </c>
      <c r="C23" s="889">
        <f>'Exh D General Fund'!C23+'Exh D Debt Service'!C22</f>
        <v>0</v>
      </c>
      <c r="D23" s="889"/>
      <c r="E23" s="889">
        <f>'Exh D General Fund'!E23+'Exh D Debt Service'!E22</f>
        <v>0</v>
      </c>
      <c r="F23" s="639"/>
      <c r="G23" s="639">
        <f>+'Exh A Supp'!T18</f>
        <v>218.7</v>
      </c>
      <c r="H23" s="639"/>
      <c r="I23" s="937">
        <v>0</v>
      </c>
      <c r="J23" s="921"/>
      <c r="K23" s="937">
        <v>0</v>
      </c>
    </row>
    <row r="24" spans="1:12">
      <c r="A24" s="814" t="s">
        <v>19</v>
      </c>
      <c r="B24" s="918" t="s">
        <v>14</v>
      </c>
      <c r="C24" s="889">
        <f>'Exh D General Fund'!C24+'Exh D Special Revenue State Fed'!C23+'Exh D Debt Service'!C23</f>
        <v>0</v>
      </c>
      <c r="D24" s="889"/>
      <c r="E24" s="889">
        <f>'Exh D General Fund'!E24+'Exh D Special Revenue State Fed'!E23+'Exh D Debt Service'!E23</f>
        <v>0</v>
      </c>
      <c r="F24" s="639"/>
      <c r="G24" s="639">
        <f>+'Exh A Supp'!T19</f>
        <v>1534.9</v>
      </c>
      <c r="H24" s="639"/>
      <c r="I24" s="937">
        <v>0</v>
      </c>
      <c r="J24" s="809"/>
      <c r="K24" s="937">
        <v>0</v>
      </c>
    </row>
    <row r="25" spans="1:12" ht="15" customHeight="1">
      <c r="A25" s="814" t="s">
        <v>20</v>
      </c>
      <c r="B25" s="918" t="s">
        <v>14</v>
      </c>
      <c r="C25" s="679">
        <f>'Exh D General Fund'!C25+'Exh D Special Revenue State Fed'!C24+'Exh D Debt Service'!C24</f>
        <v>0</v>
      </c>
      <c r="D25" s="889"/>
      <c r="E25" s="679">
        <f>'Exh D General Fund'!E25+'Exh D Special Revenue State Fed'!E24+'Exh D Debt Service'!E24</f>
        <v>0</v>
      </c>
      <c r="F25" s="639"/>
      <c r="G25" s="639">
        <f>+'Exh A Supp'!T20</f>
        <v>0.2</v>
      </c>
      <c r="H25" s="639"/>
      <c r="I25" s="937">
        <v>0</v>
      </c>
      <c r="J25" s="809"/>
      <c r="K25" s="937">
        <v>0</v>
      </c>
    </row>
    <row r="26" spans="1:12">
      <c r="A26" s="173" t="s">
        <v>91</v>
      </c>
      <c r="B26" s="151" t="s">
        <v>14</v>
      </c>
      <c r="C26" s="1477">
        <f>ROUND(SUM(C20:C25),1)</f>
        <v>0</v>
      </c>
      <c r="D26" s="112"/>
      <c r="E26" s="1477">
        <f>ROUND(SUM(E20:E25),1)</f>
        <v>0</v>
      </c>
      <c r="F26" s="916"/>
      <c r="G26" s="215">
        <f>ROUND(SUM(G20:G25),1)</f>
        <v>10642.3</v>
      </c>
      <c r="H26" s="916"/>
      <c r="I26" s="215">
        <f>ROUND(SUM(I20:I25),1)</f>
        <v>0</v>
      </c>
      <c r="J26" s="166"/>
      <c r="K26" s="215">
        <f>ROUND(SUM(K20:K25),1)</f>
        <v>0</v>
      </c>
      <c r="L26" s="355"/>
    </row>
    <row r="27" spans="1:12">
      <c r="A27" s="684"/>
      <c r="B27" s="918" t="s">
        <v>14</v>
      </c>
      <c r="C27" s="1036"/>
      <c r="D27" s="889"/>
      <c r="E27" s="1036"/>
      <c r="F27" s="639"/>
      <c r="G27" s="682"/>
      <c r="H27" s="639"/>
      <c r="I27" s="682"/>
      <c r="J27" s="663"/>
      <c r="K27" s="682"/>
    </row>
    <row r="28" spans="1:12">
      <c r="A28" s="29" t="s">
        <v>22</v>
      </c>
      <c r="B28" s="918" t="s">
        <v>14</v>
      </c>
      <c r="C28" s="889"/>
      <c r="D28" s="889"/>
      <c r="E28" s="889"/>
      <c r="F28" s="639"/>
      <c r="G28" s="639"/>
      <c r="H28" s="639"/>
      <c r="I28" s="937"/>
      <c r="J28" s="809"/>
      <c r="K28" s="937"/>
    </row>
    <row r="29" spans="1:12">
      <c r="A29" s="814" t="s">
        <v>92</v>
      </c>
      <c r="B29" s="918" t="s">
        <v>14</v>
      </c>
      <c r="C29" s="679">
        <f>'Exh D General Fund'!C34+'Exh D Special Revenue State Fed'!C29</f>
        <v>0</v>
      </c>
      <c r="D29" s="889"/>
      <c r="E29" s="679">
        <f>'Exh D General Fund'!E34+'Exh D Special Revenue State Fed'!E29</f>
        <v>0</v>
      </c>
      <c r="F29" s="639"/>
      <c r="G29" s="680">
        <f>+'Exh A Supp'!T35</f>
        <v>4031.6</v>
      </c>
      <c r="H29" s="639"/>
      <c r="I29" s="937">
        <v>0</v>
      </c>
      <c r="J29" s="809"/>
      <c r="K29" s="937">
        <v>0</v>
      </c>
      <c r="L29" s="355"/>
    </row>
    <row r="30" spans="1:12">
      <c r="A30" s="814" t="s">
        <v>93</v>
      </c>
      <c r="B30" s="918" t="s">
        <v>14</v>
      </c>
      <c r="C30" s="678">
        <f>'Exh D General Fund'!C35+'Exh D Special Revenue State Fed'!C30+'Exh D Debt Service'!C29</f>
        <v>0</v>
      </c>
      <c r="D30" s="889"/>
      <c r="E30" s="678">
        <f>'Exh D General Fund'!E35+'Exh D Special Revenue State Fed'!E30+'Exh D Debt Service'!E29</f>
        <v>0</v>
      </c>
      <c r="F30" s="639"/>
      <c r="G30" s="676">
        <f>+'Exh A Supp'!T37+'Exh A Supp'!T38</f>
        <v>1469.7</v>
      </c>
      <c r="H30" s="639"/>
      <c r="I30" s="937">
        <v>0</v>
      </c>
      <c r="J30" s="809"/>
      <c r="K30" s="937">
        <v>0</v>
      </c>
      <c r="L30" s="355"/>
    </row>
    <row r="31" spans="1:12">
      <c r="A31" s="814" t="s">
        <v>68</v>
      </c>
      <c r="B31" s="918" t="s">
        <v>14</v>
      </c>
      <c r="C31" s="679">
        <f>'Exh D General Fund'!C36+'Exh D Special Revenue State Fed'!C31</f>
        <v>0</v>
      </c>
      <c r="D31" s="889"/>
      <c r="E31" s="679">
        <f>'Exh D General Fund'!E36+'Exh D Special Revenue State Fed'!E31</f>
        <v>0</v>
      </c>
      <c r="F31" s="639"/>
      <c r="G31" s="680">
        <f>+'Exh A Supp'!T39</f>
        <v>870.1</v>
      </c>
      <c r="H31" s="639"/>
      <c r="I31" s="937">
        <v>0</v>
      </c>
      <c r="J31" s="809"/>
      <c r="K31" s="937">
        <v>0</v>
      </c>
      <c r="L31" s="355"/>
    </row>
    <row r="32" spans="1:12">
      <c r="A32" s="814" t="s">
        <v>94</v>
      </c>
      <c r="B32" s="918" t="s">
        <v>14</v>
      </c>
      <c r="C32" s="678">
        <f>'Exh D Debt Service'!C30</f>
        <v>0</v>
      </c>
      <c r="D32" s="889"/>
      <c r="E32" s="678">
        <f>'Exh D Debt Service'!E30</f>
        <v>0</v>
      </c>
      <c r="F32" s="639"/>
      <c r="G32" s="680">
        <f>+'Exh A Supp'!T41</f>
        <v>122.4</v>
      </c>
      <c r="H32" s="639"/>
      <c r="I32" s="937">
        <v>0</v>
      </c>
      <c r="J32" s="809"/>
      <c r="K32" s="937">
        <v>0</v>
      </c>
      <c r="L32" s="355"/>
    </row>
    <row r="33" spans="1:12">
      <c r="A33" s="814" t="s">
        <v>41</v>
      </c>
      <c r="B33" s="918"/>
      <c r="C33" s="678">
        <f>'Exh D Special Revenue State Fed'!C33</f>
        <v>0</v>
      </c>
      <c r="D33" s="889"/>
      <c r="E33" s="678">
        <f>'Exh D Special Revenue State Fed'!E33</f>
        <v>0</v>
      </c>
      <c r="F33" s="1523"/>
      <c r="G33" s="680">
        <f>'Exh D Special Revenue State Fed'!G33</f>
        <v>0</v>
      </c>
      <c r="H33" s="1523"/>
      <c r="I33" s="937">
        <f>ROUND(SUM(G33)-SUM(C33),1)</f>
        <v>0</v>
      </c>
      <c r="J33" s="809"/>
      <c r="K33" s="937">
        <f t="shared" ref="K33" si="0">ROUND(SUM(G33)-SUM(E33),1)</f>
        <v>0</v>
      </c>
      <c r="L33" s="355"/>
    </row>
    <row r="34" spans="1:12" ht="15.75" customHeight="1">
      <c r="A34" s="173" t="s">
        <v>95</v>
      </c>
      <c r="B34" s="151" t="s">
        <v>14</v>
      </c>
      <c r="C34" s="1090">
        <f>ROUND(SUM(C29:C33),1)</f>
        <v>0</v>
      </c>
      <c r="D34" s="112"/>
      <c r="E34" s="1090">
        <f>ROUND(SUM(E29:E33),1)</f>
        <v>0</v>
      </c>
      <c r="F34" s="916"/>
      <c r="G34" s="294">
        <f>ROUND(SUM(G29:G33),1)</f>
        <v>6493.8</v>
      </c>
      <c r="H34" s="916"/>
      <c r="I34" s="294">
        <f>ROUND(SUM(I29:I33),1)</f>
        <v>0</v>
      </c>
      <c r="J34" s="166"/>
      <c r="K34" s="294">
        <f>ROUND(SUM(K29:K33),1)</f>
        <v>0</v>
      </c>
      <c r="L34" s="355"/>
    </row>
    <row r="35" spans="1:12">
      <c r="A35" s="684"/>
      <c r="B35" s="918"/>
      <c r="C35" s="889"/>
      <c r="D35" s="889"/>
      <c r="E35" s="889"/>
      <c r="F35" s="639"/>
      <c r="G35" s="639"/>
      <c r="H35" s="639"/>
      <c r="I35" s="937"/>
      <c r="J35" s="809"/>
      <c r="K35" s="937"/>
      <c r="L35" s="355"/>
    </row>
    <row r="36" spans="1:12">
      <c r="A36" s="173" t="s">
        <v>43</v>
      </c>
      <c r="B36" s="918"/>
      <c r="C36" s="889"/>
      <c r="D36" s="889"/>
      <c r="E36" s="889"/>
      <c r="F36" s="639"/>
      <c r="G36" s="639"/>
      <c r="H36" s="639"/>
      <c r="I36" s="937"/>
      <c r="J36" s="809"/>
      <c r="K36" s="937"/>
      <c r="L36" s="355"/>
    </row>
    <row r="37" spans="1:12">
      <c r="A37" s="173" t="s">
        <v>44</v>
      </c>
      <c r="B37" s="918" t="s">
        <v>14</v>
      </c>
      <c r="C37" s="1101">
        <f>ROUND(SUM(+C26-C34),1)</f>
        <v>0</v>
      </c>
      <c r="D37" s="889"/>
      <c r="E37" s="1101">
        <f>ROUND(SUM(+E26-E34),1)</f>
        <v>0</v>
      </c>
      <c r="F37" s="639"/>
      <c r="G37" s="823">
        <f>ROUND(SUM(+G26-G34),1)</f>
        <v>4148.5</v>
      </c>
      <c r="H37" s="639"/>
      <c r="I37" s="823">
        <f>ROUND(SUM(+I26-I34),1)</f>
        <v>0</v>
      </c>
      <c r="J37" s="663"/>
      <c r="K37" s="823">
        <f>ROUND(SUM(+K26-K34),1)</f>
        <v>0</v>
      </c>
      <c r="L37" s="355"/>
    </row>
    <row r="38" spans="1:12">
      <c r="A38" s="684"/>
      <c r="B38" s="918"/>
      <c r="C38" s="889"/>
      <c r="D38" s="889"/>
      <c r="E38" s="889"/>
      <c r="F38" s="639"/>
      <c r="G38" s="639"/>
      <c r="H38" s="639"/>
      <c r="I38" s="937"/>
      <c r="J38" s="809"/>
      <c r="K38" s="937"/>
      <c r="L38" s="355"/>
    </row>
    <row r="39" spans="1:12">
      <c r="A39" s="173" t="s">
        <v>45</v>
      </c>
      <c r="B39" s="918"/>
      <c r="C39" s="889"/>
      <c r="D39" s="889"/>
      <c r="E39" s="889"/>
      <c r="F39" s="639"/>
      <c r="G39" s="639"/>
      <c r="H39" s="639"/>
      <c r="I39" s="937"/>
      <c r="J39" s="809"/>
      <c r="K39" s="937"/>
      <c r="L39" s="355"/>
    </row>
    <row r="40" spans="1:12">
      <c r="A40" s="814" t="s">
        <v>46</v>
      </c>
      <c r="B40" s="918" t="s">
        <v>14</v>
      </c>
      <c r="C40" s="678">
        <f>'Exh D General Fund'!C27+'Exh D General Fund'!C28+'Exh D General Fund'!C29+'Exh D General Fund'!C30+'Exh D Special Revenue State Fed'!C25+'Exh D Debt Service'!C25</f>
        <v>0</v>
      </c>
      <c r="D40" s="889"/>
      <c r="E40" s="678">
        <f>'Exh D General Fund'!E27+'Exh D General Fund'!E28+'Exh D General Fund'!E29+'Exh D General Fund'!E30+'Exh D Special Revenue State Fed'!E25+'Exh D Debt Service'!E25</f>
        <v>0</v>
      </c>
      <c r="F40" s="639"/>
      <c r="G40" s="676">
        <f>+'Exh A Supp'!T49</f>
        <v>4886.8999999999996</v>
      </c>
      <c r="H40" s="1355" t="s">
        <v>777</v>
      </c>
      <c r="I40" s="937">
        <v>0</v>
      </c>
      <c r="J40" s="809"/>
      <c r="K40" s="937">
        <v>0</v>
      </c>
      <c r="L40" s="355"/>
    </row>
    <row r="41" spans="1:12">
      <c r="A41" s="814" t="s">
        <v>97</v>
      </c>
      <c r="B41" s="918" t="s">
        <v>14</v>
      </c>
      <c r="C41" s="1476">
        <f>-('Exh D General Fund'!C38+'Exh D General Fund'!C39+'Exh D General Fund'!C40+'Exh D General Fund'!C41+'Exh D General Fund'!C42+'Exh D Special Revenue State Fed'!C34+'Exh D Debt Service'!C31)</f>
        <v>0</v>
      </c>
      <c r="D41" s="889"/>
      <c r="E41" s="1476">
        <f>-('Exh D General Fund'!E38+'Exh D General Fund'!E39+'Exh D General Fund'!E40+'Exh D General Fund'!E41+'Exh D General Fund'!E42+'Exh D Special Revenue State Fed'!E34+'Exh D Debt Service'!E31)</f>
        <v>0</v>
      </c>
      <c r="F41" s="639"/>
      <c r="G41" s="676">
        <f>+'Exh A Supp'!T50</f>
        <v>-5216.3999999999996</v>
      </c>
      <c r="H41" s="1355" t="s">
        <v>777</v>
      </c>
      <c r="I41" s="937">
        <v>0</v>
      </c>
      <c r="J41" s="663"/>
      <c r="K41" s="937">
        <v>0</v>
      </c>
      <c r="L41" s="355"/>
    </row>
    <row r="42" spans="1:12">
      <c r="A42" s="173" t="s">
        <v>98</v>
      </c>
      <c r="B42" s="918" t="s">
        <v>14</v>
      </c>
      <c r="C42" s="1090">
        <f>ROUND(SUM(C40:C41),1)</f>
        <v>0</v>
      </c>
      <c r="D42" s="889"/>
      <c r="E42" s="1090">
        <f>ROUND(SUM(E40:E41),1)</f>
        <v>0</v>
      </c>
      <c r="F42" s="639"/>
      <c r="G42" s="294">
        <f>ROUND(SUM(G40:G41),1)</f>
        <v>-329.5</v>
      </c>
      <c r="H42" s="639"/>
      <c r="I42" s="294">
        <f>ROUND(SUM(I40-I41),1)</f>
        <v>0</v>
      </c>
      <c r="J42" s="924"/>
      <c r="K42" s="294">
        <f>ROUND(SUM(K40-K41),1)</f>
        <v>0</v>
      </c>
      <c r="L42" s="355"/>
    </row>
    <row r="43" spans="1:12">
      <c r="A43" s="173"/>
      <c r="B43" s="918"/>
      <c r="C43" s="678"/>
      <c r="D43" s="889"/>
      <c r="E43" s="678"/>
      <c r="F43" s="639"/>
      <c r="G43" s="676"/>
      <c r="H43" s="639"/>
      <c r="I43" s="938"/>
      <c r="J43" s="919"/>
      <c r="K43" s="938"/>
      <c r="L43" s="355"/>
    </row>
    <row r="44" spans="1:12">
      <c r="A44" s="29" t="s">
        <v>99</v>
      </c>
      <c r="B44" s="918"/>
      <c r="C44" s="889"/>
      <c r="D44" s="889"/>
      <c r="E44" s="889"/>
      <c r="F44" s="639"/>
      <c r="G44" s="639"/>
      <c r="H44" s="639"/>
      <c r="I44" s="937"/>
      <c r="J44" s="809"/>
      <c r="K44" s="937"/>
      <c r="L44" s="355"/>
    </row>
    <row r="45" spans="1:12" ht="15" customHeight="1">
      <c r="A45" s="29" t="s">
        <v>100</v>
      </c>
      <c r="B45" s="918"/>
      <c r="C45" s="889"/>
      <c r="D45" s="889"/>
      <c r="E45" s="889"/>
      <c r="F45" s="639"/>
      <c r="G45" s="639"/>
      <c r="H45" s="639"/>
      <c r="I45" s="937"/>
      <c r="J45" s="809"/>
      <c r="K45" s="937"/>
      <c r="L45" s="355"/>
    </row>
    <row r="46" spans="1:12">
      <c r="A46" s="173" t="s">
        <v>101</v>
      </c>
      <c r="B46" s="174" t="s">
        <v>14</v>
      </c>
      <c r="C46" s="115">
        <f>ROUND(SUM(C26)-SUM(C34)+C42,1)</f>
        <v>0</v>
      </c>
      <c r="D46" s="1099"/>
      <c r="E46" s="115">
        <f>ROUND(SUM(E26)-SUM(E34)+E42,1)</f>
        <v>0</v>
      </c>
      <c r="F46" s="84"/>
      <c r="G46" s="76">
        <f>ROUND(SUM(G26)-SUM(G34)+G42,1)</f>
        <v>3819</v>
      </c>
      <c r="H46" s="84"/>
      <c r="I46" s="76">
        <f>ROUND(SUM(I26)-SUM(I34)+I42,1)</f>
        <v>0</v>
      </c>
      <c r="J46" s="166"/>
      <c r="K46" s="76">
        <f>ROUND(SUM(K26)-SUM(K34)+K42,1)</f>
        <v>0</v>
      </c>
      <c r="L46" s="355"/>
    </row>
    <row r="47" spans="1:12">
      <c r="A47" s="925"/>
      <c r="B47" s="618"/>
      <c r="C47" s="1478"/>
      <c r="D47" s="1643"/>
      <c r="E47" s="1478"/>
      <c r="F47" s="926"/>
      <c r="G47" s="665"/>
      <c r="H47" s="926"/>
      <c r="I47" s="665"/>
      <c r="J47" s="927"/>
      <c r="K47" s="665"/>
      <c r="L47" s="355"/>
    </row>
    <row r="48" spans="1:12">
      <c r="A48" s="173" t="str">
        <f>'Exh D-Governmental  '!A49</f>
        <v>Fund Balances (Deficits) at April 1</v>
      </c>
      <c r="B48" s="928" t="s">
        <v>14</v>
      </c>
      <c r="C48" s="115">
        <f>'Exh D General Fund'!C49+'Exh D Special Revenue State Fed'!C41+'Exh D Debt Service'!C38</f>
        <v>0</v>
      </c>
      <c r="D48" s="1643"/>
      <c r="E48" s="115">
        <v>0</v>
      </c>
      <c r="F48" s="926"/>
      <c r="G48" s="76">
        <f>'Exh A Supp'!T57</f>
        <v>14934.4</v>
      </c>
      <c r="H48" s="926"/>
      <c r="I48" s="823">
        <v>0</v>
      </c>
      <c r="J48" s="166"/>
      <c r="K48" s="937">
        <v>0</v>
      </c>
      <c r="L48" s="355"/>
    </row>
    <row r="49" spans="1:12" ht="16" thickBot="1">
      <c r="A49" s="173" t="str">
        <f>'Exh D-Governmental  '!A50</f>
        <v>Fund Balances (Deficits) at April 30, 2021</v>
      </c>
      <c r="B49" s="180" t="s">
        <v>14</v>
      </c>
      <c r="C49" s="1479">
        <f>ROUND(SUM(C46:C48),1)</f>
        <v>0</v>
      </c>
      <c r="D49" s="2051"/>
      <c r="E49" s="1479">
        <f>ROUND(SUM(E46:E48),1)</f>
        <v>0</v>
      </c>
      <c r="F49" s="181"/>
      <c r="G49" s="98">
        <f>ROUND(SUM(G46:G48),1)</f>
        <v>18753.400000000001</v>
      </c>
      <c r="H49" s="969"/>
      <c r="I49" s="98">
        <f>ROUND(SUM(I46:I48),1)</f>
        <v>0</v>
      </c>
      <c r="J49" s="182"/>
      <c r="K49" s="98">
        <f>ROUND(SUM(K46:K48),1)</f>
        <v>0</v>
      </c>
      <c r="L49" s="355"/>
    </row>
    <row r="50" spans="1:12" ht="16" thickTop="1">
      <c r="A50" s="925"/>
      <c r="B50" s="618"/>
      <c r="C50" s="1933"/>
      <c r="D50" s="945"/>
      <c r="E50" s="1933"/>
      <c r="F50" s="929"/>
      <c r="G50" s="929"/>
      <c r="H50" s="929"/>
      <c r="I50" s="929"/>
      <c r="J50" s="929"/>
      <c r="K50" s="929"/>
    </row>
    <row r="51" spans="1:12">
      <c r="A51" s="930" t="str">
        <f>'Exh D-Governmental  '!A52</f>
        <v>(*)    Due to the absence of the 2021-22 Enacted Budget Financial Plan, the "Financial Plan Cashflow" is not available;</v>
      </c>
      <c r="G51" s="1168"/>
      <c r="I51" s="1168"/>
      <c r="K51" s="1168"/>
    </row>
    <row r="52" spans="1:12">
      <c r="A52" s="930" t="str">
        <f>'Exh D-Governmental  '!A53</f>
        <v xml:space="preserve">        therefore no Plan-to-Actual comparison can be made for the period ending April 30, 2021.</v>
      </c>
      <c r="G52" s="1168"/>
      <c r="I52" s="1168"/>
      <c r="K52" s="1168"/>
    </row>
    <row r="53" spans="1:12">
      <c r="A53" s="3879" t="s">
        <v>1435</v>
      </c>
      <c r="I53" s="1168"/>
      <c r="K53" s="1168"/>
    </row>
    <row r="54" spans="1:12">
      <c r="A54" s="3879" t="s">
        <v>1110</v>
      </c>
    </row>
    <row r="55" spans="1:12">
      <c r="A55" s="3880" t="s">
        <v>1436</v>
      </c>
      <c r="G55" s="1168"/>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80" workbookViewId="0"/>
  </sheetViews>
  <sheetFormatPr defaultColWidth="8.765625" defaultRowHeight="15.5"/>
  <cols>
    <col min="1" max="1" width="59" style="925" customWidth="1"/>
    <col min="2" max="2" width="2" style="618" customWidth="1"/>
    <col min="3" max="3" width="15.07421875" style="425" customWidth="1"/>
    <col min="4" max="4" width="1.765625" style="929" customWidth="1"/>
    <col min="5" max="5" width="15.07421875" style="425" customWidth="1"/>
    <col min="6" max="6" width="2.765625" style="929" customWidth="1"/>
    <col min="7" max="7" width="15.07421875" style="929" customWidth="1"/>
    <col min="8" max="8" width="4.765625" style="929" customWidth="1"/>
    <col min="9" max="9" width="15.07421875" style="929" customWidth="1"/>
    <col min="10" max="10" width="2.07421875" style="929" customWidth="1"/>
    <col min="11" max="11" width="12.765625" style="618" customWidth="1"/>
    <col min="12" max="12" width="18.07421875" style="425" bestFit="1" customWidth="1"/>
    <col min="13" max="13" width="2.765625" style="929" customWidth="1"/>
    <col min="14" max="14" width="14.07421875" style="929" customWidth="1"/>
    <col min="15" max="15" width="2.765625" style="929" customWidth="1"/>
    <col min="16" max="16" width="15.765625" style="929" bestFit="1" customWidth="1"/>
    <col min="17" max="17" width="2" style="618" customWidth="1"/>
    <col min="18" max="18" width="11.765625" style="618" customWidth="1"/>
    <col min="19" max="19" width="11.4609375" style="618" customWidth="1"/>
    <col min="20" max="20" width="1.765625" style="618" customWidth="1"/>
    <col min="21" max="21" width="11.765625" style="618" customWidth="1"/>
    <col min="22" max="22" width="2.07421875" style="618" customWidth="1"/>
    <col min="23" max="23" width="11.4609375" style="618" customWidth="1"/>
    <col min="24" max="24" width="0.53515625" style="618" customWidth="1"/>
    <col min="25" max="25" width="2.07421875" style="618" customWidth="1"/>
    <col min="26" max="26" width="10.53515625" style="618" customWidth="1"/>
    <col min="27" max="27" width="11.07421875" style="618" customWidth="1"/>
    <col min="28" max="28" width="2.07421875" style="618" customWidth="1"/>
    <col min="29" max="29" width="11.07421875" style="618" customWidth="1"/>
    <col min="30" max="30" width="2.07421875" style="618" customWidth="1"/>
    <col min="31" max="31" width="12.4609375" style="618" customWidth="1"/>
    <col min="32" max="36" width="8.765625" style="618"/>
    <col min="37" max="37" width="8.765625" style="929"/>
    <col min="38" max="16384" width="8.765625" style="925"/>
  </cols>
  <sheetData>
    <row r="1" spans="1:31">
      <c r="A1" s="931" t="s">
        <v>885</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16"/>
      <c r="K3" s="816" t="s">
        <v>82</v>
      </c>
      <c r="L3" s="422"/>
      <c r="M3" s="143"/>
      <c r="N3" s="143"/>
      <c r="O3" s="143"/>
      <c r="Q3" s="143"/>
      <c r="R3" s="156"/>
      <c r="S3" s="156"/>
      <c r="T3" s="156"/>
      <c r="U3" s="156"/>
      <c r="V3" s="156"/>
      <c r="W3" s="156"/>
      <c r="X3" s="156"/>
      <c r="Y3" s="156"/>
      <c r="Z3" s="156"/>
      <c r="AA3" s="156"/>
      <c r="AB3" s="156"/>
      <c r="AC3" s="156"/>
      <c r="AD3" s="156"/>
      <c r="AE3" s="192"/>
    </row>
    <row r="4" spans="1:31" ht="17.25" customHeight="1">
      <c r="A4" s="191" t="s">
        <v>81</v>
      </c>
      <c r="B4" s="148"/>
      <c r="C4" s="421"/>
      <c r="D4" s="143"/>
      <c r="E4" s="421"/>
      <c r="F4" s="143"/>
      <c r="G4" s="143"/>
      <c r="H4" s="143"/>
      <c r="I4" s="817"/>
      <c r="K4" s="817"/>
      <c r="L4" s="422"/>
      <c r="M4" s="143"/>
      <c r="N4" s="143"/>
      <c r="O4" s="143"/>
      <c r="Q4" s="143"/>
      <c r="R4" s="156"/>
      <c r="S4" s="156"/>
      <c r="T4" s="156"/>
      <c r="U4" s="156"/>
      <c r="V4" s="156"/>
      <c r="W4" s="156"/>
      <c r="X4" s="156"/>
      <c r="Y4" s="156"/>
      <c r="Z4" s="156"/>
      <c r="AA4" s="156"/>
      <c r="AB4" s="156"/>
      <c r="AC4" s="156"/>
      <c r="AD4" s="156"/>
      <c r="AE4" s="156"/>
    </row>
    <row r="5" spans="1:31" ht="17.25" customHeight="1">
      <c r="A5" s="3925" t="str">
        <f>'Exh D-Governmental  '!A5:E5</f>
        <v>FISCAL YEAR 2021-2022</v>
      </c>
      <c r="B5" s="3926"/>
      <c r="C5" s="3926"/>
      <c r="D5" s="3926"/>
      <c r="E5" s="3926"/>
      <c r="F5" s="143"/>
      <c r="G5" s="809"/>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66" t="str">
        <f>'Exh D-Governmental  '!A6</f>
        <v xml:space="preserve">FOR ONE MONTH ENDED APRIL 30, 2021    </v>
      </c>
      <c r="B6" s="3904"/>
      <c r="C6" s="3905"/>
      <c r="D6" s="3906"/>
      <c r="E6" s="3905"/>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1281</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58"/>
      <c r="M10" s="147"/>
      <c r="N10" s="147"/>
      <c r="O10" s="147"/>
      <c r="P10" s="147"/>
      <c r="Q10" s="143"/>
      <c r="R10" s="156"/>
      <c r="S10" s="156"/>
      <c r="T10" s="156"/>
      <c r="U10" s="156"/>
      <c r="V10" s="156"/>
      <c r="W10" s="156"/>
      <c r="X10" s="156"/>
      <c r="Y10" s="156"/>
      <c r="Z10" s="156"/>
      <c r="AA10" s="156"/>
      <c r="AB10" s="156"/>
      <c r="AC10" s="156"/>
      <c r="AD10" s="156"/>
      <c r="AE10" s="156"/>
    </row>
    <row r="11" spans="1:31">
      <c r="A11" s="684"/>
      <c r="C11" s="3927" t="s">
        <v>1046</v>
      </c>
      <c r="D11" s="3927"/>
      <c r="E11" s="3927"/>
      <c r="F11" s="3927"/>
      <c r="G11" s="3927"/>
      <c r="H11" s="3927"/>
      <c r="I11" s="3927"/>
      <c r="J11" s="1169"/>
      <c r="K11" s="1170"/>
      <c r="L11" s="426"/>
      <c r="M11" s="196"/>
      <c r="N11" s="196"/>
      <c r="O11" s="196"/>
      <c r="P11" s="196"/>
      <c r="Q11" s="151"/>
      <c r="R11" s="194"/>
      <c r="S11" s="194"/>
      <c r="T11" s="194"/>
      <c r="U11" s="194"/>
      <c r="V11" s="194"/>
      <c r="W11" s="194"/>
      <c r="X11" s="194"/>
      <c r="Y11" s="151"/>
      <c r="Z11" s="194"/>
      <c r="AA11" s="195"/>
      <c r="AB11" s="194"/>
      <c r="AC11" s="194"/>
      <c r="AD11" s="194"/>
      <c r="AE11" s="194"/>
    </row>
    <row r="12" spans="1:31">
      <c r="A12" s="684"/>
      <c r="C12" s="423"/>
      <c r="D12" s="196"/>
      <c r="E12" s="423"/>
      <c r="F12" s="196"/>
      <c r="G12" s="197"/>
      <c r="H12" s="196"/>
      <c r="I12" s="196" t="s">
        <v>83</v>
      </c>
      <c r="J12" s="194"/>
      <c r="K12" s="196" t="s">
        <v>83</v>
      </c>
      <c r="L12" s="426"/>
      <c r="M12" s="196"/>
      <c r="N12" s="197"/>
      <c r="O12" s="196"/>
      <c r="P12" s="196"/>
      <c r="Q12" s="151"/>
      <c r="R12" s="194"/>
      <c r="S12" s="194"/>
      <c r="T12" s="194"/>
      <c r="U12" s="194"/>
      <c r="V12" s="194"/>
      <c r="W12" s="194"/>
      <c r="X12" s="194"/>
      <c r="Y12" s="151"/>
      <c r="Z12" s="194"/>
      <c r="AA12" s="195"/>
      <c r="AB12" s="194"/>
      <c r="AC12" s="194"/>
      <c r="AD12" s="194"/>
      <c r="AE12" s="194"/>
    </row>
    <row r="13" spans="1:31">
      <c r="A13" s="684"/>
      <c r="B13" s="151"/>
      <c r="C13" s="424"/>
      <c r="D13" s="198"/>
      <c r="E13" s="424"/>
      <c r="F13" s="198"/>
      <c r="G13" s="198"/>
      <c r="H13" s="198"/>
      <c r="I13" s="199" t="s">
        <v>798</v>
      </c>
      <c r="J13" s="201"/>
      <c r="K13" s="199" t="s">
        <v>798</v>
      </c>
      <c r="L13" s="959"/>
      <c r="M13" s="960"/>
      <c r="N13" s="960"/>
      <c r="O13" s="960"/>
      <c r="P13" s="961"/>
      <c r="Q13" s="151"/>
      <c r="R13" s="151"/>
      <c r="S13" s="151"/>
      <c r="T13" s="151"/>
      <c r="U13" s="151"/>
      <c r="V13" s="151"/>
      <c r="W13" s="200"/>
      <c r="X13" s="201"/>
      <c r="Y13" s="151"/>
      <c r="Z13" s="151"/>
      <c r="AA13" s="151"/>
      <c r="AB13" s="151"/>
      <c r="AC13" s="151"/>
      <c r="AD13" s="151"/>
      <c r="AE13" s="200"/>
    </row>
    <row r="14" spans="1:31">
      <c r="A14" s="684"/>
      <c r="B14" s="202"/>
      <c r="C14" s="154" t="s">
        <v>994</v>
      </c>
      <c r="D14" s="925"/>
      <c r="E14" s="153" t="s">
        <v>995</v>
      </c>
      <c r="F14" s="152"/>
      <c r="G14" s="152"/>
      <c r="H14" s="152"/>
      <c r="I14" s="153" t="s">
        <v>84</v>
      </c>
      <c r="J14" s="201"/>
      <c r="K14" s="153" t="s">
        <v>84</v>
      </c>
      <c r="L14" s="962"/>
      <c r="M14" s="151"/>
      <c r="N14" s="151"/>
      <c r="O14" s="151"/>
      <c r="P14" s="201"/>
      <c r="Q14" s="151"/>
      <c r="R14" s="200"/>
      <c r="S14" s="201"/>
      <c r="T14" s="151"/>
      <c r="U14" s="151"/>
      <c r="V14" s="151"/>
      <c r="W14" s="200"/>
      <c r="X14" s="201"/>
      <c r="Y14" s="151"/>
      <c r="Z14" s="200"/>
      <c r="AA14" s="201"/>
      <c r="AB14" s="151"/>
      <c r="AC14" s="151"/>
      <c r="AD14" s="151"/>
      <c r="AE14" s="200"/>
    </row>
    <row r="15" spans="1:31">
      <c r="A15" s="684"/>
      <c r="B15" s="202"/>
      <c r="C15" s="153" t="s">
        <v>1031</v>
      </c>
      <c r="D15" s="152"/>
      <c r="E15" s="153" t="s">
        <v>1031</v>
      </c>
      <c r="F15" s="152"/>
      <c r="G15" s="152"/>
      <c r="H15" s="152"/>
      <c r="I15" s="153" t="s">
        <v>994</v>
      </c>
      <c r="J15" s="201"/>
      <c r="K15" s="153" t="s">
        <v>995</v>
      </c>
      <c r="L15" s="962"/>
      <c r="M15" s="151"/>
      <c r="N15" s="151"/>
      <c r="O15" s="151"/>
      <c r="P15" s="201"/>
      <c r="Q15" s="151"/>
      <c r="R15" s="200"/>
      <c r="S15" s="201"/>
      <c r="T15" s="151"/>
      <c r="U15" s="151"/>
      <c r="V15" s="151"/>
      <c r="W15" s="200"/>
      <c r="X15" s="201"/>
      <c r="Y15" s="151"/>
      <c r="Z15" s="200"/>
      <c r="AA15" s="201"/>
      <c r="AB15" s="151"/>
      <c r="AC15" s="151"/>
      <c r="AD15" s="151"/>
      <c r="AE15" s="200"/>
    </row>
    <row r="16" spans="1:31">
      <c r="A16" s="684"/>
      <c r="B16" s="201"/>
      <c r="C16" s="153" t="s">
        <v>1032</v>
      </c>
      <c r="D16" s="152"/>
      <c r="E16" s="153" t="s">
        <v>1433</v>
      </c>
      <c r="F16" s="152"/>
      <c r="G16" s="154" t="s">
        <v>83</v>
      </c>
      <c r="H16" s="152"/>
      <c r="I16" s="153" t="s">
        <v>85</v>
      </c>
      <c r="J16" s="201"/>
      <c r="K16" s="153" t="s">
        <v>85</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13</v>
      </c>
      <c r="B18" s="918"/>
      <c r="C18" s="653"/>
      <c r="D18" s="653"/>
      <c r="E18" s="653"/>
      <c r="F18" s="653"/>
      <c r="G18" s="653"/>
      <c r="H18" s="653"/>
      <c r="I18" s="653"/>
      <c r="J18" s="918"/>
      <c r="K18" s="918"/>
      <c r="L18" s="918"/>
      <c r="M18" s="918"/>
      <c r="N18" s="918"/>
      <c r="O18" s="918"/>
      <c r="P18" s="918"/>
      <c r="Q18" s="918"/>
      <c r="R18" s="918"/>
      <c r="S18" s="918"/>
      <c r="T18" s="918"/>
      <c r="U18" s="918"/>
      <c r="V18" s="918"/>
      <c r="W18" s="918"/>
      <c r="X18" s="918"/>
      <c r="Y18" s="918"/>
      <c r="Z18" s="918"/>
      <c r="AA18" s="918"/>
      <c r="AB18" s="918"/>
      <c r="AC18" s="918"/>
      <c r="AD18" s="918"/>
      <c r="AE18" s="918"/>
    </row>
    <row r="19" spans="1:31">
      <c r="A19" s="814" t="s">
        <v>86</v>
      </c>
      <c r="B19" s="919"/>
      <c r="C19" s="653"/>
      <c r="D19" s="919"/>
      <c r="E19" s="653"/>
      <c r="F19" s="919"/>
      <c r="G19" s="653"/>
      <c r="H19" s="919"/>
      <c r="I19" s="653"/>
      <c r="J19" s="918"/>
      <c r="K19" s="918"/>
      <c r="L19" s="918"/>
      <c r="M19" s="918"/>
      <c r="N19" s="918"/>
      <c r="O19" s="939"/>
      <c r="P19" s="918"/>
      <c r="Q19" s="918"/>
      <c r="R19" s="918"/>
      <c r="S19" s="918"/>
      <c r="T19" s="918"/>
      <c r="U19" s="918"/>
      <c r="V19" s="918"/>
      <c r="W19" s="918"/>
      <c r="X19" s="918"/>
      <c r="Y19" s="918"/>
      <c r="Z19" s="918"/>
      <c r="AA19" s="918"/>
      <c r="AB19" s="918"/>
      <c r="AC19" s="918"/>
      <c r="AD19" s="918"/>
      <c r="AE19" s="918"/>
    </row>
    <row r="20" spans="1:31">
      <c r="A20" s="814" t="s">
        <v>87</v>
      </c>
      <c r="B20" s="919" t="s">
        <v>14</v>
      </c>
      <c r="C20" s="2047">
        <v>0</v>
      </c>
      <c r="D20" s="887"/>
      <c r="E20" s="2047">
        <v>0</v>
      </c>
      <c r="F20" s="656"/>
      <c r="G20" s="654">
        <f>+'Exhibit F'!AC26</f>
        <v>3262.9</v>
      </c>
      <c r="H20" s="656"/>
      <c r="I20" s="654">
        <v>0</v>
      </c>
      <c r="J20" s="918"/>
      <c r="K20" s="654">
        <v>0</v>
      </c>
      <c r="L20" s="963"/>
      <c r="M20" s="963"/>
      <c r="N20" s="964"/>
      <c r="O20" s="963"/>
      <c r="P20" s="965"/>
      <c r="Q20" s="918"/>
      <c r="R20" s="918"/>
      <c r="S20" s="918"/>
      <c r="T20" s="918"/>
      <c r="U20" s="918"/>
      <c r="V20" s="918"/>
      <c r="W20" s="918"/>
      <c r="X20" s="918"/>
      <c r="Y20" s="918"/>
      <c r="Z20" s="918"/>
      <c r="AA20" s="918"/>
      <c r="AB20" s="918"/>
      <c r="AC20" s="918"/>
      <c r="AD20" s="918"/>
      <c r="AE20" s="918"/>
    </row>
    <row r="21" spans="1:31">
      <c r="A21" s="814" t="s">
        <v>88</v>
      </c>
      <c r="B21" s="918" t="s">
        <v>14</v>
      </c>
      <c r="C21" s="1116">
        <v>0</v>
      </c>
      <c r="D21" s="889"/>
      <c r="E21" s="1116">
        <v>0</v>
      </c>
      <c r="F21" s="639"/>
      <c r="G21" s="889">
        <f>+'Exhibit F'!AC36</f>
        <v>351.1</v>
      </c>
      <c r="H21" s="639"/>
      <c r="I21" s="639">
        <v>0</v>
      </c>
      <c r="J21" s="918"/>
      <c r="K21" s="1523">
        <v>0</v>
      </c>
      <c r="L21" s="966"/>
      <c r="M21" s="937"/>
      <c r="N21" s="937"/>
      <c r="O21" s="937"/>
      <c r="P21" s="937"/>
      <c r="Q21" s="937"/>
      <c r="R21" s="937"/>
      <c r="S21" s="918"/>
      <c r="T21" s="918"/>
      <c r="U21" s="918"/>
      <c r="V21" s="918"/>
      <c r="W21" s="918"/>
      <c r="X21" s="918"/>
      <c r="Y21" s="918"/>
      <c r="Z21" s="918"/>
      <c r="AA21" s="918"/>
      <c r="AB21" s="918"/>
      <c r="AC21" s="918"/>
      <c r="AD21" s="918"/>
      <c r="AE21" s="918"/>
    </row>
    <row r="22" spans="1:31">
      <c r="A22" s="814" t="s">
        <v>89</v>
      </c>
      <c r="B22" s="919" t="s">
        <v>14</v>
      </c>
      <c r="C22" s="1116">
        <v>0</v>
      </c>
      <c r="D22" s="678"/>
      <c r="E22" s="1116">
        <v>0</v>
      </c>
      <c r="F22" s="676"/>
      <c r="G22" s="926">
        <f>+'Exhibit F'!AC43</f>
        <v>729.6</v>
      </c>
      <c r="H22" s="676"/>
      <c r="I22" s="639">
        <v>0</v>
      </c>
      <c r="J22" s="918"/>
      <c r="K22" s="1523">
        <v>0</v>
      </c>
      <c r="L22" s="966"/>
      <c r="M22" s="938"/>
      <c r="N22" s="937"/>
      <c r="O22" s="938"/>
      <c r="P22" s="937"/>
      <c r="Q22" s="938"/>
      <c r="R22" s="937"/>
      <c r="S22" s="918"/>
      <c r="T22" s="939"/>
      <c r="U22" s="918"/>
      <c r="V22" s="939"/>
      <c r="W22" s="918"/>
      <c r="X22" s="918"/>
      <c r="Y22" s="939"/>
      <c r="Z22" s="918"/>
      <c r="AA22" s="918"/>
      <c r="AB22" s="939"/>
      <c r="AC22" s="203"/>
      <c r="AD22" s="939"/>
      <c r="AE22" s="918"/>
    </row>
    <row r="23" spans="1:31">
      <c r="A23" s="814" t="s">
        <v>90</v>
      </c>
      <c r="B23" s="918" t="s">
        <v>14</v>
      </c>
      <c r="C23" s="1116">
        <v>0</v>
      </c>
      <c r="D23" s="889"/>
      <c r="E23" s="1116">
        <v>0</v>
      </c>
      <c r="F23" s="639"/>
      <c r="G23" s="889">
        <f>+'Exhibit F'!AC51</f>
        <v>121.2</v>
      </c>
      <c r="H23" s="639"/>
      <c r="I23" s="639">
        <v>0</v>
      </c>
      <c r="J23" s="918"/>
      <c r="K23" s="1523">
        <v>0</v>
      </c>
      <c r="L23" s="967"/>
      <c r="M23" s="937"/>
      <c r="N23" s="937"/>
      <c r="O23" s="937"/>
      <c r="P23" s="937"/>
      <c r="Q23" s="937"/>
      <c r="R23" s="937"/>
      <c r="S23" s="918"/>
      <c r="T23" s="918"/>
      <c r="U23" s="918"/>
      <c r="V23" s="918"/>
      <c r="W23" s="918"/>
      <c r="X23" s="918"/>
      <c r="Y23" s="918"/>
      <c r="Z23" s="918"/>
      <c r="AA23" s="918"/>
      <c r="AB23" s="918"/>
      <c r="AC23" s="918"/>
      <c r="AD23" s="918"/>
      <c r="AE23" s="918"/>
    </row>
    <row r="24" spans="1:31" ht="15" customHeight="1">
      <c r="A24" s="814" t="s">
        <v>19</v>
      </c>
      <c r="B24" s="918" t="s">
        <v>14</v>
      </c>
      <c r="C24" s="1116">
        <v>0</v>
      </c>
      <c r="D24" s="1966"/>
      <c r="E24" s="1116">
        <v>0</v>
      </c>
      <c r="F24" s="936"/>
      <c r="G24" s="681">
        <f>+'Exhibit F'!AC92</f>
        <v>172.5</v>
      </c>
      <c r="H24" s="639"/>
      <c r="I24" s="639">
        <v>0</v>
      </c>
      <c r="J24" s="918"/>
      <c r="K24" s="1523">
        <v>0</v>
      </c>
      <c r="L24" s="967"/>
      <c r="M24" s="937"/>
      <c r="N24" s="937"/>
      <c r="O24" s="937"/>
      <c r="P24" s="937"/>
      <c r="Q24" s="937"/>
      <c r="R24" s="937"/>
      <c r="S24" s="918"/>
      <c r="T24" s="918"/>
      <c r="U24" s="918"/>
      <c r="V24" s="918"/>
      <c r="W24" s="918"/>
      <c r="X24" s="918"/>
      <c r="Y24" s="918"/>
      <c r="Z24" s="918"/>
      <c r="AA24" s="918"/>
      <c r="AB24" s="918"/>
      <c r="AC24" s="918"/>
      <c r="AD24" s="918"/>
      <c r="AE24" s="918"/>
    </row>
    <row r="25" spans="1:31" ht="15" customHeight="1">
      <c r="A25" s="814" t="s">
        <v>20</v>
      </c>
      <c r="B25" s="918" t="s">
        <v>14</v>
      </c>
      <c r="C25" s="1116">
        <v>0</v>
      </c>
      <c r="D25" s="889"/>
      <c r="E25" s="1116">
        <v>0</v>
      </c>
      <c r="F25" s="639"/>
      <c r="G25" s="681">
        <f>+'Exhibit F'!AC94</f>
        <v>0.2</v>
      </c>
      <c r="H25" s="639"/>
      <c r="I25" s="639">
        <v>0</v>
      </c>
      <c r="J25" s="918"/>
      <c r="K25" s="1523">
        <v>0</v>
      </c>
      <c r="L25" s="966"/>
      <c r="M25" s="937"/>
      <c r="N25" s="937"/>
      <c r="O25" s="937"/>
      <c r="P25" s="937"/>
      <c r="Q25" s="937"/>
      <c r="R25" s="940"/>
      <c r="S25" s="941"/>
      <c r="T25" s="918"/>
      <c r="U25" s="941"/>
      <c r="V25" s="918"/>
      <c r="W25" s="941"/>
      <c r="X25" s="942"/>
      <c r="Y25" s="918"/>
      <c r="Z25" s="918"/>
      <c r="AA25" s="918"/>
      <c r="AB25" s="918"/>
      <c r="AC25" s="918"/>
      <c r="AD25" s="918"/>
      <c r="AE25" s="918"/>
    </row>
    <row r="26" spans="1:31" ht="18" customHeight="1">
      <c r="A26" s="814" t="s">
        <v>104</v>
      </c>
      <c r="B26" s="942"/>
      <c r="C26" s="655"/>
      <c r="D26" s="889"/>
      <c r="E26" s="655"/>
      <c r="F26" s="639"/>
      <c r="G26" s="2129"/>
      <c r="H26" s="639"/>
      <c r="I26" s="639"/>
      <c r="J26" s="942"/>
      <c r="K26" s="1523"/>
      <c r="L26" s="940"/>
      <c r="M26" s="937"/>
      <c r="N26" s="940"/>
      <c r="O26" s="937"/>
      <c r="P26" s="940"/>
      <c r="Q26" s="937"/>
      <c r="R26" s="940"/>
      <c r="S26" s="941"/>
      <c r="T26" s="918"/>
      <c r="U26" s="941"/>
      <c r="V26" s="918"/>
      <c r="W26" s="941"/>
      <c r="X26" s="942"/>
      <c r="Y26" s="918"/>
      <c r="Z26" s="918"/>
      <c r="AA26" s="918"/>
      <c r="AB26" s="918"/>
      <c r="AC26" s="918"/>
      <c r="AD26" s="918"/>
      <c r="AE26" s="918"/>
    </row>
    <row r="27" spans="1:31">
      <c r="A27" s="814" t="s">
        <v>1225</v>
      </c>
      <c r="B27" s="942" t="s">
        <v>14</v>
      </c>
      <c r="C27" s="1116">
        <v>0</v>
      </c>
      <c r="D27" s="889"/>
      <c r="E27" s="1116">
        <v>0</v>
      </c>
      <c r="F27" s="639"/>
      <c r="G27" s="889">
        <f>'Exhibit F'!AC123</f>
        <v>3262.7</v>
      </c>
      <c r="H27" s="639"/>
      <c r="I27" s="639">
        <v>0</v>
      </c>
      <c r="J27" s="942"/>
      <c r="K27" s="1523">
        <v>0</v>
      </c>
      <c r="L27" s="940"/>
      <c r="M27" s="937"/>
      <c r="N27" s="940"/>
      <c r="O27" s="937"/>
      <c r="P27" s="937"/>
      <c r="Q27" s="937"/>
      <c r="R27" s="940"/>
      <c r="S27" s="941"/>
      <c r="T27" s="918"/>
      <c r="U27" s="941"/>
      <c r="V27" s="918"/>
      <c r="W27" s="941"/>
      <c r="X27" s="942"/>
      <c r="Y27" s="918"/>
      <c r="Z27" s="918"/>
      <c r="AA27" s="918"/>
      <c r="AB27" s="918"/>
      <c r="AC27" s="918"/>
      <c r="AD27" s="918"/>
      <c r="AE27" s="918"/>
    </row>
    <row r="28" spans="1:31">
      <c r="A28" s="814" t="s">
        <v>993</v>
      </c>
      <c r="B28" s="942" t="s">
        <v>14</v>
      </c>
      <c r="C28" s="1116">
        <v>0</v>
      </c>
      <c r="D28" s="889"/>
      <c r="E28" s="1116">
        <v>0</v>
      </c>
      <c r="F28" s="639"/>
      <c r="G28" s="1532">
        <f>'Exhibit F'!AC124</f>
        <v>870</v>
      </c>
      <c r="H28" s="639"/>
      <c r="I28" s="639">
        <v>0</v>
      </c>
      <c r="J28" s="942"/>
      <c r="K28" s="1523">
        <v>0</v>
      </c>
      <c r="L28" s="940" t="s">
        <v>14</v>
      </c>
      <c r="M28" s="937"/>
      <c r="N28" s="940"/>
      <c r="O28" s="937"/>
      <c r="P28" s="937"/>
      <c r="Q28" s="937"/>
      <c r="R28" s="940"/>
      <c r="S28" s="941"/>
      <c r="T28" s="918"/>
      <c r="U28" s="941"/>
      <c r="V28" s="918"/>
      <c r="W28" s="941"/>
      <c r="X28" s="942"/>
      <c r="Y28" s="918"/>
      <c r="Z28" s="918"/>
      <c r="AA28" s="918"/>
      <c r="AB28" s="918"/>
      <c r="AC28" s="918"/>
      <c r="AD28" s="918"/>
      <c r="AE28" s="918"/>
    </row>
    <row r="29" spans="1:31">
      <c r="A29" s="814" t="s">
        <v>105</v>
      </c>
      <c r="B29" s="942" t="s">
        <v>14</v>
      </c>
      <c r="C29" s="1116">
        <v>0</v>
      </c>
      <c r="D29" s="889"/>
      <c r="E29" s="1116">
        <v>0</v>
      </c>
      <c r="F29" s="639"/>
      <c r="G29" s="889">
        <f>'Exhibit F'!AC125</f>
        <v>86.8</v>
      </c>
      <c r="H29" s="639"/>
      <c r="I29" s="639">
        <v>0</v>
      </c>
      <c r="J29" s="942"/>
      <c r="K29" s="1523">
        <v>0</v>
      </c>
      <c r="L29" s="940"/>
      <c r="M29" s="937"/>
      <c r="N29" s="940"/>
      <c r="O29" s="937"/>
      <c r="P29" s="937"/>
      <c r="Q29" s="937"/>
      <c r="R29" s="940"/>
      <c r="S29" s="941"/>
      <c r="T29" s="918"/>
      <c r="U29" s="941"/>
      <c r="V29" s="918"/>
      <c r="W29" s="941"/>
      <c r="X29" s="942"/>
      <c r="Y29" s="918"/>
      <c r="Z29" s="918"/>
      <c r="AA29" s="918"/>
      <c r="AB29" s="918"/>
      <c r="AC29" s="918"/>
      <c r="AD29" s="918"/>
      <c r="AE29" s="918"/>
    </row>
    <row r="30" spans="1:31">
      <c r="A30" s="814" t="s">
        <v>106</v>
      </c>
      <c r="B30" s="942" t="s">
        <v>14</v>
      </c>
      <c r="C30" s="1116">
        <v>0</v>
      </c>
      <c r="D30" s="889"/>
      <c r="E30" s="1116">
        <v>0</v>
      </c>
      <c r="F30" s="639"/>
      <c r="G30" s="1708">
        <f>'Exhibit F'!AC126</f>
        <v>108.00000000000018</v>
      </c>
      <c r="H30" s="639"/>
      <c r="I30" s="639">
        <v>0</v>
      </c>
      <c r="J30" s="942"/>
      <c r="K30" s="1523">
        <v>0</v>
      </c>
      <c r="L30" s="968"/>
      <c r="M30" s="937"/>
      <c r="N30" s="938"/>
      <c r="O30" s="937"/>
      <c r="P30" s="937"/>
      <c r="Q30" s="937"/>
      <c r="R30" s="940"/>
      <c r="S30" s="941"/>
      <c r="T30" s="918"/>
      <c r="U30" s="941"/>
      <c r="V30" s="918"/>
      <c r="W30" s="941"/>
      <c r="X30" s="942"/>
      <c r="Y30" s="918"/>
      <c r="Z30" s="918"/>
      <c r="AA30" s="918"/>
      <c r="AB30" s="918"/>
      <c r="AC30" s="918"/>
      <c r="AD30" s="918"/>
      <c r="AE30" s="918"/>
    </row>
    <row r="31" spans="1:31" ht="18" customHeight="1">
      <c r="A31" s="173" t="s">
        <v>107</v>
      </c>
      <c r="B31" s="151" t="s">
        <v>14</v>
      </c>
      <c r="C31" s="1867">
        <f>ROUND(SUM(C20:C30),1)</f>
        <v>0</v>
      </c>
      <c r="D31" s="112"/>
      <c r="E31" s="1867">
        <f>ROUND(SUM(E20:E30),1)</f>
        <v>0</v>
      </c>
      <c r="F31" s="916"/>
      <c r="G31" s="215">
        <f>ROUND(SUM(G20:G30),1)</f>
        <v>8965</v>
      </c>
      <c r="H31" s="916"/>
      <c r="I31" s="294">
        <f>ROUND(SUM(I20:I30),1)</f>
        <v>0</v>
      </c>
      <c r="J31" s="151"/>
      <c r="K31" s="294">
        <f>ROUND(SUM(K20:K30),1)</f>
        <v>0</v>
      </c>
      <c r="L31" s="76"/>
      <c r="M31" s="76"/>
      <c r="N31" s="76"/>
      <c r="O31" s="76"/>
      <c r="P31" s="76"/>
      <c r="Q31" s="76"/>
      <c r="R31" s="76"/>
      <c r="S31" s="151"/>
      <c r="T31" s="151"/>
      <c r="U31" s="151"/>
      <c r="V31" s="151"/>
      <c r="W31" s="151"/>
      <c r="X31" s="151"/>
      <c r="Y31" s="151"/>
      <c r="Z31" s="151"/>
      <c r="AA31" s="151"/>
      <c r="AB31" s="151"/>
      <c r="AC31" s="151"/>
      <c r="AD31" s="151"/>
      <c r="AE31" s="151"/>
    </row>
    <row r="32" spans="1:31">
      <c r="A32" s="684"/>
      <c r="B32" s="918"/>
      <c r="C32" s="1868"/>
      <c r="D32" s="889"/>
      <c r="E32" s="1868"/>
      <c r="F32" s="639"/>
      <c r="G32" s="682"/>
      <c r="H32" s="639"/>
      <c r="I32" s="937"/>
      <c r="J32" s="918"/>
      <c r="K32" s="937"/>
      <c r="L32" s="937"/>
      <c r="M32" s="937"/>
      <c r="N32" s="937"/>
      <c r="O32" s="937"/>
      <c r="P32" s="937"/>
      <c r="Q32" s="937"/>
      <c r="R32" s="937"/>
      <c r="S32" s="918"/>
      <c r="T32" s="918"/>
      <c r="U32" s="918"/>
      <c r="V32" s="918"/>
      <c r="W32" s="918"/>
      <c r="X32" s="918"/>
      <c r="Y32" s="918"/>
      <c r="Z32" s="918"/>
      <c r="AA32" s="918"/>
      <c r="AB32" s="918"/>
      <c r="AC32" s="918"/>
      <c r="AD32" s="918"/>
      <c r="AE32" s="918"/>
    </row>
    <row r="33" spans="1:31">
      <c r="A33" s="29" t="s">
        <v>22</v>
      </c>
      <c r="B33" s="918"/>
      <c r="C33" s="889"/>
      <c r="D33" s="889"/>
      <c r="E33" s="889"/>
      <c r="F33" s="639"/>
      <c r="G33" s="639"/>
      <c r="H33" s="639"/>
      <c r="I33" s="639"/>
      <c r="J33" s="918"/>
      <c r="K33" s="937"/>
      <c r="L33" s="937"/>
      <c r="M33" s="937"/>
      <c r="N33" s="937"/>
      <c r="O33" s="937"/>
      <c r="P33" s="937"/>
      <c r="Q33" s="937"/>
      <c r="R33" s="937"/>
      <c r="S33" s="918"/>
      <c r="T33" s="918"/>
      <c r="U33" s="918"/>
      <c r="V33" s="918"/>
      <c r="W33" s="918"/>
      <c r="X33" s="918"/>
      <c r="Y33" s="918"/>
      <c r="Z33" s="918"/>
      <c r="AA33" s="918"/>
      <c r="AB33" s="918"/>
      <c r="AC33" s="918"/>
      <c r="AD33" s="918"/>
      <c r="AE33" s="918"/>
    </row>
    <row r="34" spans="1:31">
      <c r="A34" s="814" t="s">
        <v>92</v>
      </c>
      <c r="B34" s="939" t="s">
        <v>14</v>
      </c>
      <c r="C34" s="1116">
        <v>0</v>
      </c>
      <c r="D34" s="889"/>
      <c r="E34" s="1116">
        <v>0</v>
      </c>
      <c r="F34" s="639"/>
      <c r="G34" s="676">
        <f>+'Exhibit F'!AC110</f>
        <v>3377.5000000000005</v>
      </c>
      <c r="H34" s="639"/>
      <c r="I34" s="639">
        <v>0</v>
      </c>
      <c r="J34" s="918"/>
      <c r="K34" s="1523">
        <v>0</v>
      </c>
      <c r="L34" s="938"/>
      <c r="M34" s="937"/>
      <c r="N34" s="938"/>
      <c r="O34" s="937"/>
      <c r="P34" s="937"/>
      <c r="Q34" s="937"/>
      <c r="R34" s="940"/>
      <c r="S34" s="941"/>
      <c r="T34" s="918"/>
      <c r="U34" s="941"/>
      <c r="V34" s="918"/>
      <c r="W34" s="941"/>
      <c r="X34" s="942"/>
      <c r="Y34" s="918"/>
      <c r="Z34" s="918"/>
      <c r="AA34" s="918"/>
      <c r="AB34" s="918"/>
      <c r="AC34" s="918"/>
      <c r="AD34" s="918"/>
      <c r="AE34" s="918"/>
    </row>
    <row r="35" spans="1:31">
      <c r="A35" s="814" t="s">
        <v>93</v>
      </c>
      <c r="B35" s="939" t="s">
        <v>14</v>
      </c>
      <c r="C35" s="1116">
        <v>0</v>
      </c>
      <c r="D35" s="889"/>
      <c r="E35" s="1116">
        <v>0</v>
      </c>
      <c r="F35" s="639"/>
      <c r="G35" s="676">
        <f>+'Exhibit F'!AC112+'Exhibit F'!AC113</f>
        <v>844.3</v>
      </c>
      <c r="H35" s="639"/>
      <c r="I35" s="639">
        <v>0</v>
      </c>
      <c r="J35" s="918"/>
      <c r="K35" s="1523">
        <v>0</v>
      </c>
      <c r="L35" s="938"/>
      <c r="M35" s="937"/>
      <c r="N35" s="938"/>
      <c r="O35" s="937"/>
      <c r="P35" s="937"/>
      <c r="Q35" s="937"/>
      <c r="R35" s="938"/>
      <c r="S35" s="939"/>
      <c r="T35" s="918"/>
      <c r="U35" s="939"/>
      <c r="V35" s="918"/>
      <c r="W35" s="941"/>
      <c r="X35" s="918"/>
      <c r="Y35" s="918"/>
      <c r="Z35" s="941"/>
      <c r="AA35" s="941"/>
      <c r="AB35" s="918"/>
      <c r="AC35" s="941"/>
      <c r="AD35" s="918"/>
      <c r="AE35" s="941"/>
    </row>
    <row r="36" spans="1:31">
      <c r="A36" s="814" t="s">
        <v>68</v>
      </c>
      <c r="B36" s="939" t="s">
        <v>14</v>
      </c>
      <c r="C36" s="1116">
        <v>0</v>
      </c>
      <c r="D36" s="889"/>
      <c r="E36" s="1116">
        <v>0</v>
      </c>
      <c r="F36" s="639"/>
      <c r="G36" s="676">
        <f>+'Exhibit F'!AC114</f>
        <v>810.3</v>
      </c>
      <c r="H36" s="639"/>
      <c r="I36" s="639">
        <v>0</v>
      </c>
      <c r="J36" s="918"/>
      <c r="K36" s="1523">
        <v>0</v>
      </c>
      <c r="L36" s="938"/>
      <c r="M36" s="937"/>
      <c r="N36" s="938"/>
      <c r="O36" s="937"/>
      <c r="P36" s="937"/>
      <c r="Q36" s="937"/>
      <c r="R36" s="940"/>
      <c r="S36" s="941"/>
      <c r="T36" s="918"/>
      <c r="U36" s="941"/>
      <c r="V36" s="918"/>
      <c r="W36" s="941"/>
      <c r="X36" s="942"/>
      <c r="Y36" s="918"/>
      <c r="Z36" s="941"/>
      <c r="AA36" s="941"/>
      <c r="AB36" s="918"/>
      <c r="AC36" s="941"/>
      <c r="AD36" s="918"/>
      <c r="AE36" s="941"/>
    </row>
    <row r="37" spans="1:31" ht="18" customHeight="1">
      <c r="A37" s="814" t="s">
        <v>108</v>
      </c>
      <c r="B37" s="942"/>
      <c r="C37" s="655"/>
      <c r="D37" s="889"/>
      <c r="E37" s="655"/>
      <c r="F37" s="639"/>
      <c r="G37" s="655"/>
      <c r="H37" s="639"/>
      <c r="I37" s="639"/>
      <c r="J37" s="942"/>
      <c r="K37" s="1523" t="s">
        <v>14</v>
      </c>
      <c r="L37" s="968"/>
      <c r="M37" s="937"/>
      <c r="N37" s="968"/>
      <c r="O37" s="937"/>
      <c r="P37" s="937"/>
      <c r="Q37" s="937"/>
      <c r="R37" s="940"/>
      <c r="S37" s="941"/>
      <c r="T37" s="918"/>
      <c r="U37" s="941"/>
      <c r="V37" s="918"/>
      <c r="W37" s="941"/>
      <c r="X37" s="942"/>
      <c r="Y37" s="918"/>
      <c r="Z37" s="918"/>
      <c r="AA37" s="918"/>
      <c r="AB37" s="918"/>
      <c r="AC37" s="918"/>
      <c r="AD37" s="918"/>
      <c r="AE37" s="918"/>
    </row>
    <row r="38" spans="1:31">
      <c r="A38" s="814" t="s">
        <v>109</v>
      </c>
      <c r="B38" s="942" t="s">
        <v>14</v>
      </c>
      <c r="C38" s="1116">
        <v>0</v>
      </c>
      <c r="D38" s="889"/>
      <c r="E38" s="1116">
        <v>0</v>
      </c>
      <c r="F38" s="639"/>
      <c r="G38" s="679">
        <f>-'Exhibit F'!AC129</f>
        <v>162.6</v>
      </c>
      <c r="H38" s="639"/>
      <c r="I38" s="639">
        <v>0</v>
      </c>
      <c r="J38" s="942"/>
      <c r="K38" s="1523">
        <v>0</v>
      </c>
      <c r="L38" s="940"/>
      <c r="M38" s="937"/>
      <c r="N38" s="940"/>
      <c r="O38" s="937"/>
      <c r="P38" s="937"/>
      <c r="Q38" s="937"/>
      <c r="R38" s="940"/>
      <c r="S38" s="941"/>
      <c r="T38" s="918"/>
      <c r="U38" s="941"/>
      <c r="V38" s="918"/>
      <c r="W38" s="941"/>
      <c r="X38" s="942"/>
      <c r="Y38" s="918"/>
      <c r="Z38" s="918"/>
      <c r="AA38" s="918"/>
      <c r="AB38" s="918"/>
      <c r="AC38" s="918"/>
      <c r="AD38" s="918"/>
      <c r="AE38" s="918"/>
    </row>
    <row r="39" spans="1:31">
      <c r="A39" s="814" t="s">
        <v>110</v>
      </c>
      <c r="B39" s="942" t="s">
        <v>14</v>
      </c>
      <c r="C39" s="1116">
        <v>0</v>
      </c>
      <c r="D39" s="889"/>
      <c r="E39" s="1116">
        <v>0</v>
      </c>
      <c r="F39" s="639"/>
      <c r="G39" s="679">
        <f>-'Exhibit F'!AC127-'Exhibit F'!AC128</f>
        <v>485.70000000000005</v>
      </c>
      <c r="H39" s="1523" t="s">
        <v>14</v>
      </c>
      <c r="I39" s="639">
        <v>0</v>
      </c>
      <c r="J39" s="942"/>
      <c r="K39" s="1523">
        <v>0</v>
      </c>
      <c r="L39" s="940" t="s">
        <v>14</v>
      </c>
      <c r="M39" s="937"/>
      <c r="N39" s="940"/>
      <c r="O39" s="937"/>
      <c r="P39" s="937"/>
      <c r="Q39" s="937"/>
      <c r="R39" s="940"/>
      <c r="S39" s="941"/>
      <c r="T39" s="918"/>
      <c r="U39" s="941"/>
      <c r="V39" s="918"/>
      <c r="W39" s="941"/>
      <c r="X39" s="942"/>
      <c r="Y39" s="918"/>
      <c r="Z39" s="918"/>
      <c r="AA39" s="918"/>
      <c r="AB39" s="918"/>
      <c r="AC39" s="918"/>
      <c r="AD39" s="918"/>
      <c r="AE39" s="918"/>
    </row>
    <row r="40" spans="1:31">
      <c r="A40" s="814" t="s">
        <v>111</v>
      </c>
      <c r="B40" s="942" t="s">
        <v>14</v>
      </c>
      <c r="C40" s="1116">
        <v>0</v>
      </c>
      <c r="D40" s="889"/>
      <c r="E40" s="1116">
        <v>0</v>
      </c>
      <c r="F40" s="639"/>
      <c r="G40" s="1532">
        <v>3.8</v>
      </c>
      <c r="H40" s="1523" t="s">
        <v>112</v>
      </c>
      <c r="I40" s="639">
        <v>0</v>
      </c>
      <c r="J40" s="942"/>
      <c r="K40" s="1523">
        <v>0</v>
      </c>
      <c r="L40" s="940"/>
      <c r="M40" s="937"/>
      <c r="N40" s="940"/>
      <c r="O40" s="937"/>
      <c r="P40" s="937"/>
      <c r="Q40" s="937"/>
      <c r="R40" s="940"/>
      <c r="S40" s="941"/>
      <c r="T40" s="918"/>
      <c r="U40" s="941"/>
      <c r="V40" s="918"/>
      <c r="W40" s="941"/>
      <c r="X40" s="942"/>
      <c r="Y40" s="918"/>
      <c r="Z40" s="918"/>
      <c r="AA40" s="918"/>
      <c r="AB40" s="918"/>
      <c r="AC40" s="918"/>
      <c r="AD40" s="918"/>
      <c r="AE40" s="918"/>
    </row>
    <row r="41" spans="1:31">
      <c r="A41" s="814" t="s">
        <v>113</v>
      </c>
      <c r="B41" s="942" t="s">
        <v>114</v>
      </c>
      <c r="C41" s="1116">
        <v>0</v>
      </c>
      <c r="D41" s="889"/>
      <c r="E41" s="1116">
        <v>0</v>
      </c>
      <c r="F41" s="639"/>
      <c r="G41" s="1532">
        <v>113</v>
      </c>
      <c r="H41" s="639"/>
      <c r="I41" s="639">
        <v>0</v>
      </c>
      <c r="J41" s="942"/>
      <c r="K41" s="1523">
        <v>0</v>
      </c>
      <c r="L41" s="940"/>
      <c r="M41" s="937"/>
      <c r="N41" s="940"/>
      <c r="O41" s="937"/>
      <c r="P41" s="937"/>
      <c r="Q41" s="937"/>
      <c r="R41" s="940"/>
      <c r="S41" s="941"/>
      <c r="T41" s="918"/>
      <c r="U41" s="941"/>
      <c r="V41" s="918"/>
      <c r="W41" s="941"/>
      <c r="X41" s="942"/>
      <c r="Y41" s="918"/>
      <c r="Z41" s="918"/>
      <c r="AA41" s="918"/>
      <c r="AB41" s="918"/>
      <c r="AC41" s="918"/>
      <c r="AD41" s="918"/>
      <c r="AE41" s="918"/>
    </row>
    <row r="42" spans="1:31">
      <c r="A42" s="814" t="s">
        <v>115</v>
      </c>
      <c r="B42" s="942" t="s">
        <v>14</v>
      </c>
      <c r="C42" s="1116">
        <v>0</v>
      </c>
      <c r="D42" s="889"/>
      <c r="E42" s="1116">
        <v>0</v>
      </c>
      <c r="F42" s="639"/>
      <c r="G42" s="679">
        <v>111</v>
      </c>
      <c r="H42" s="639"/>
      <c r="I42" s="639">
        <v>0</v>
      </c>
      <c r="J42" s="942"/>
      <c r="K42" s="1523">
        <v>0</v>
      </c>
      <c r="L42" s="968"/>
      <c r="M42" s="937"/>
      <c r="N42" s="938"/>
      <c r="O42" s="937"/>
      <c r="P42" s="937"/>
      <c r="Q42" s="937"/>
      <c r="R42" s="940"/>
      <c r="S42" s="941"/>
      <c r="T42" s="918"/>
      <c r="U42" s="941"/>
      <c r="V42" s="918"/>
      <c r="W42" s="941"/>
      <c r="X42" s="942"/>
      <c r="Y42" s="918"/>
      <c r="Z42" s="918"/>
      <c r="AA42" s="918"/>
      <c r="AB42" s="918"/>
      <c r="AC42" s="918"/>
      <c r="AD42" s="918"/>
      <c r="AE42" s="918"/>
    </row>
    <row r="43" spans="1:31" ht="18" customHeight="1">
      <c r="A43" s="173" t="s">
        <v>116</v>
      </c>
      <c r="B43" s="151" t="s">
        <v>14</v>
      </c>
      <c r="C43" s="1867">
        <f>ROUND(SUM(C34:C42),1)</f>
        <v>0</v>
      </c>
      <c r="D43" s="112"/>
      <c r="E43" s="1867">
        <f>ROUND(SUM(E34:E42),1)</f>
        <v>0</v>
      </c>
      <c r="F43" s="916"/>
      <c r="G43" s="215">
        <f>ROUND(SUM(G34:G42),1)</f>
        <v>5908.2</v>
      </c>
      <c r="H43" s="916"/>
      <c r="I43" s="294">
        <f>ROUND(SUM(I34:I42),1)</f>
        <v>0</v>
      </c>
      <c r="J43" s="151"/>
      <c r="K43" s="294">
        <f>ROUND(SUM(K34:K42),1)</f>
        <v>0</v>
      </c>
      <c r="L43" s="76"/>
      <c r="M43" s="76"/>
      <c r="N43" s="76"/>
      <c r="O43" s="76"/>
      <c r="P43" s="76"/>
      <c r="Q43" s="76"/>
      <c r="R43" s="76"/>
      <c r="S43" s="151"/>
      <c r="T43" s="151"/>
      <c r="U43" s="151"/>
      <c r="V43" s="151"/>
      <c r="W43" s="151"/>
      <c r="X43" s="151"/>
      <c r="Y43" s="151"/>
      <c r="Z43" s="151"/>
      <c r="AA43" s="151"/>
      <c r="AB43" s="151"/>
      <c r="AC43" s="151"/>
      <c r="AD43" s="151"/>
      <c r="AE43" s="151"/>
    </row>
    <row r="44" spans="1:31">
      <c r="A44" s="684"/>
      <c r="B44" s="918"/>
      <c r="C44" s="1868"/>
      <c r="D44" s="889"/>
      <c r="E44" s="1868"/>
      <c r="F44" s="639"/>
      <c r="G44" s="682"/>
      <c r="H44" s="639"/>
      <c r="I44" s="937"/>
      <c r="J44" s="918"/>
      <c r="K44" s="937"/>
      <c r="L44" s="937"/>
      <c r="M44" s="937"/>
      <c r="N44" s="937"/>
      <c r="O44" s="937"/>
      <c r="P44" s="937"/>
      <c r="Q44" s="937"/>
      <c r="R44" s="937"/>
      <c r="S44" s="918"/>
      <c r="T44" s="918"/>
      <c r="U44" s="918"/>
      <c r="V44" s="918"/>
      <c r="W44" s="918"/>
      <c r="X44" s="918"/>
      <c r="Y44" s="918"/>
      <c r="Z44" s="918"/>
      <c r="AA44" s="918"/>
      <c r="AB44" s="918"/>
      <c r="AC44" s="918"/>
      <c r="AD44" s="918"/>
      <c r="AE44" s="918"/>
    </row>
    <row r="45" spans="1:31">
      <c r="A45" s="29" t="s">
        <v>117</v>
      </c>
      <c r="B45" s="918"/>
      <c r="C45" s="889"/>
      <c r="D45" s="889"/>
      <c r="E45" s="889"/>
      <c r="F45" s="639"/>
      <c r="G45" s="639"/>
      <c r="H45" s="639"/>
      <c r="I45" s="639"/>
      <c r="J45" s="918"/>
      <c r="K45" s="937"/>
      <c r="L45" s="937"/>
      <c r="M45" s="937"/>
      <c r="N45" s="937"/>
      <c r="O45" s="937"/>
      <c r="P45" s="937"/>
      <c r="Q45" s="937"/>
      <c r="R45" s="937"/>
      <c r="S45" s="918"/>
      <c r="T45" s="918"/>
      <c r="U45" s="918"/>
      <c r="V45" s="918"/>
      <c r="W45" s="918"/>
      <c r="X45" s="918"/>
      <c r="Y45" s="918"/>
      <c r="Z45" s="918"/>
      <c r="AA45" s="918"/>
      <c r="AB45" s="918"/>
      <c r="AC45" s="918"/>
      <c r="AD45" s="918"/>
      <c r="AE45" s="918"/>
    </row>
    <row r="46" spans="1:31">
      <c r="A46" s="29" t="s">
        <v>118</v>
      </c>
      <c r="B46" s="918"/>
      <c r="C46" s="889"/>
      <c r="D46" s="889"/>
      <c r="E46" s="889"/>
      <c r="F46" s="639"/>
      <c r="G46" s="639"/>
      <c r="H46" s="639"/>
      <c r="I46" s="639"/>
      <c r="J46" s="918"/>
      <c r="K46" s="937"/>
      <c r="L46" s="937"/>
      <c r="M46" s="937"/>
      <c r="N46" s="937"/>
      <c r="O46" s="937"/>
      <c r="P46" s="937"/>
      <c r="Q46" s="937"/>
      <c r="R46" s="937"/>
      <c r="S46" s="918"/>
      <c r="T46" s="918"/>
      <c r="U46" s="918"/>
      <c r="V46" s="918"/>
      <c r="W46" s="918"/>
      <c r="X46" s="918"/>
      <c r="Y46" s="918"/>
      <c r="Z46" s="918"/>
      <c r="AA46" s="918"/>
      <c r="AB46" s="918"/>
      <c r="AC46" s="918"/>
      <c r="AD46" s="918"/>
      <c r="AE46" s="918"/>
    </row>
    <row r="47" spans="1:31">
      <c r="A47" s="173" t="s">
        <v>101</v>
      </c>
      <c r="B47" s="915" t="s">
        <v>14</v>
      </c>
      <c r="C47" s="115">
        <f>ROUND(SUM(C31)-SUM(C43),1)</f>
        <v>0</v>
      </c>
      <c r="D47" s="1099"/>
      <c r="E47" s="115">
        <f>ROUND(SUM(E31)-SUM(E43),1)</f>
        <v>0</v>
      </c>
      <c r="F47" s="84"/>
      <c r="G47" s="76">
        <f>ROUND(SUM(G31)-SUM(G43),1)</f>
        <v>3056.8</v>
      </c>
      <c r="H47" s="84"/>
      <c r="I47" s="76">
        <f>ROUND(SUM(I31)-SUM(I43),1)</f>
        <v>0</v>
      </c>
      <c r="J47" s="151"/>
      <c r="K47" s="76">
        <v>0</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78"/>
      <c r="D48" s="1643"/>
      <c r="E48" s="1478"/>
      <c r="F48" s="926"/>
      <c r="G48" s="665"/>
      <c r="H48" s="926"/>
      <c r="I48" s="76"/>
      <c r="J48" s="151"/>
      <c r="K48" s="76"/>
      <c r="L48" s="665"/>
      <c r="M48" s="665"/>
      <c r="N48" s="665"/>
      <c r="O48" s="665"/>
      <c r="P48" s="665"/>
      <c r="Q48" s="665"/>
      <c r="R48" s="665"/>
    </row>
    <row r="49" spans="1:18">
      <c r="A49" s="972" t="str">
        <f>'Exh D-Governmental  '!A49</f>
        <v>Fund Balances (Deficits) at April 1</v>
      </c>
      <c r="B49" s="618" t="s">
        <v>14</v>
      </c>
      <c r="C49" s="115">
        <v>0</v>
      </c>
      <c r="D49" s="1643"/>
      <c r="E49" s="115">
        <v>0</v>
      </c>
      <c r="F49" s="926"/>
      <c r="G49" s="76">
        <f>'Exhibit F'!AC12</f>
        <v>9160.7999999999993</v>
      </c>
      <c r="H49" s="926"/>
      <c r="I49" s="81">
        <v>0</v>
      </c>
      <c r="J49" s="151"/>
      <c r="K49" s="916">
        <v>0</v>
      </c>
      <c r="L49" s="76"/>
      <c r="M49" s="665"/>
      <c r="N49" s="76"/>
      <c r="O49" s="665"/>
      <c r="P49" s="81"/>
      <c r="Q49" s="665"/>
      <c r="R49" s="665"/>
    </row>
    <row r="50" spans="1:18" ht="18" customHeight="1" thickBot="1">
      <c r="A50" s="173" t="str">
        <f>'Exh D-Governmental  '!A50</f>
        <v>Fund Balances (Deficits) at April 30, 2021</v>
      </c>
      <c r="B50" s="180" t="s">
        <v>14</v>
      </c>
      <c r="C50" s="2050">
        <f>ROUND(SUM(C47:C49),1)</f>
        <v>0</v>
      </c>
      <c r="D50" s="2051"/>
      <c r="E50" s="2050">
        <f>ROUND(SUM(E47:E49),1)</f>
        <v>0</v>
      </c>
      <c r="F50" s="181"/>
      <c r="G50" s="98">
        <f>ROUND(SUM(G47:G49),1)</f>
        <v>12217.6</v>
      </c>
      <c r="H50" s="181"/>
      <c r="I50" s="98">
        <f>ROUND(SUM(I47:I49),1)</f>
        <v>0</v>
      </c>
      <c r="J50" s="151"/>
      <c r="K50" s="98">
        <f>ROUND(SUM(K47:K49),1)</f>
        <v>0</v>
      </c>
      <c r="L50" s="219"/>
      <c r="M50" s="969"/>
      <c r="N50" s="219"/>
      <c r="O50" s="969"/>
      <c r="P50" s="219"/>
    </row>
    <row r="51" spans="1:18" ht="15" customHeight="1" thickTop="1">
      <c r="A51" s="155"/>
      <c r="G51" s="618"/>
      <c r="J51" s="618"/>
      <c r="L51" s="683"/>
      <c r="M51" s="970"/>
      <c r="N51" s="970"/>
      <c r="O51" s="970"/>
      <c r="P51" s="970"/>
    </row>
    <row r="52" spans="1:18">
      <c r="A52" s="930" t="str">
        <f>'Exh D-Governmental  '!A52</f>
        <v>(*)    Due to the absence of the 2021-22 Enacted Budget Financial Plan, the "Financial Plan Cashflow" is not available;</v>
      </c>
      <c r="M52" s="618"/>
      <c r="N52" s="618"/>
      <c r="O52" s="618"/>
      <c r="P52" s="618"/>
    </row>
    <row r="53" spans="1:18">
      <c r="A53" s="930" t="str">
        <f>'Exh D-Governmental  '!A53</f>
        <v xml:space="preserve">        therefore no Plan-to-Actual comparison can be made for the period ending April 30, 2021.</v>
      </c>
      <c r="M53" s="618"/>
      <c r="N53" s="618"/>
      <c r="O53" s="618"/>
      <c r="P53" s="618"/>
    </row>
    <row r="54" spans="1:18">
      <c r="A54" s="3881" t="s">
        <v>1437</v>
      </c>
      <c r="M54" s="618"/>
      <c r="N54" s="618"/>
      <c r="O54" s="618"/>
      <c r="P54" s="618"/>
    </row>
    <row r="55" spans="1:18">
      <c r="A55" s="1491" t="s">
        <v>1227</v>
      </c>
      <c r="M55" s="618"/>
      <c r="N55" s="618"/>
      <c r="O55" s="618"/>
      <c r="P55" s="618"/>
    </row>
    <row r="56" spans="1:18">
      <c r="A56" s="1491" t="s">
        <v>14</v>
      </c>
      <c r="M56" s="618"/>
      <c r="N56" s="618"/>
      <c r="O56" s="618"/>
      <c r="P56" s="618"/>
    </row>
    <row r="57" spans="1:18">
      <c r="A57" s="944"/>
      <c r="M57" s="618"/>
      <c r="N57" s="618"/>
      <c r="O57" s="618"/>
      <c r="P57" s="618"/>
    </row>
    <row r="58" spans="1:18">
      <c r="M58" s="618"/>
      <c r="N58" s="618"/>
      <c r="O58" s="618"/>
      <c r="P58" s="618"/>
    </row>
    <row r="59" spans="1:18">
      <c r="A59" s="3054"/>
      <c r="C59" s="2140"/>
      <c r="M59" s="618"/>
      <c r="N59" s="618"/>
      <c r="O59" s="618"/>
      <c r="P59" s="618"/>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2021-05-14T19:36:33Z</dcterms:created>
  <dcterms:modified xsi:type="dcterms:W3CDTF">2021-05-14T19:38:43Z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